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LELA LICITAÇÃO\"/>
    </mc:Choice>
  </mc:AlternateContent>
  <bookViews>
    <workbookView xWindow="0" yWindow="0" windowWidth="25125" windowHeight="12330" tabRatio="896" activeTab="2"/>
  </bookViews>
  <sheets>
    <sheet name="Dados" sheetId="14" r:id="rId1"/>
    <sheet name="BDI" sheetId="31" r:id="rId2"/>
    <sheet name="Orça-SD" sheetId="2" r:id="rId3"/>
    <sheet name="LIG.SD" sheetId="32" r:id="rId4"/>
    <sheet name="Orça-CD" sheetId="24" r:id="rId5"/>
    <sheet name="LIG.CD" sheetId="33" r:id="rId6"/>
    <sheet name="Cotação" sheetId="28" r:id="rId7"/>
    <sheet name="Cronog." sheetId="11" r:id="rId8"/>
    <sheet name="Transp." sheetId="5" r:id="rId9"/>
    <sheet name="Inst_Canteiro" sheetId="21" r:id="rId10"/>
    <sheet name="Mob." sheetId="7" r:id="rId11"/>
    <sheet name="Adm. Local" sheetId="20" r:id="rId12"/>
    <sheet name="Terrap" sheetId="23" state="hidden" r:id="rId13"/>
    <sheet name="Valas" sheetId="17" state="hidden" r:id="rId14"/>
    <sheet name="Sin. V." sheetId="15" r:id="rId15"/>
    <sheet name="Tachas" sheetId="16" r:id="rId16"/>
    <sheet name="Sin.H." sheetId="12" r:id="rId17"/>
    <sheet name="Dren." sheetId="10" r:id="rId18"/>
    <sheet name="MFC" sheetId="27" r:id="rId19"/>
    <sheet name="Sarjetas" sheetId="26" r:id="rId20"/>
    <sheet name="Enleivamento" sheetId="25" r:id="rId21"/>
  </sheets>
  <definedNames>
    <definedName name="_xlnm.Print_Area" localSheetId="11">'Adm. Local'!$A$1:$L$31</definedName>
    <definedName name="_xlnm.Print_Area" localSheetId="1">BDI!$A$1:$J$76</definedName>
    <definedName name="_xlnm.Print_Area" localSheetId="6">Cotação!$A$1:$H$63</definedName>
    <definedName name="_xlnm.Print_Area" localSheetId="7">Cronog.!$A$1:$AH$14</definedName>
    <definedName name="_xlnm.Print_Area" localSheetId="17">Dren.!$A$1:$L$31</definedName>
    <definedName name="_xlnm.Print_Area" localSheetId="20">Enleivamento!$A$1:$F$30</definedName>
    <definedName name="_xlnm.Print_Area" localSheetId="9">Inst_Canteiro!$A$1:$H$35</definedName>
    <definedName name="_xlnm.Print_Area" localSheetId="5">LIG.CD!$A$1:$O$50</definedName>
    <definedName name="_xlnm.Print_Area" localSheetId="3">LIG.SD!$A$1:$O$50</definedName>
    <definedName name="_xlnm.Print_Area" localSheetId="18">MFC!$A$1:$G$24</definedName>
    <definedName name="_xlnm.Print_Area" localSheetId="10">Mob.!$A$1:$M$44</definedName>
    <definedName name="_xlnm.Print_Area" localSheetId="4">'Orça-CD'!$A$1:$J$64</definedName>
    <definedName name="_xlnm.Print_Area" localSheetId="2">'Orça-SD'!$A$1:$J$64</definedName>
    <definedName name="_xlnm.Print_Area" localSheetId="19">Sarjetas!$A$1:$G$25</definedName>
    <definedName name="_xlnm.Print_Area" localSheetId="14">'Sin. V.'!$A$1:$M$53</definedName>
    <definedName name="_xlnm.Print_Area" localSheetId="16">Sin.H.!$A$1:$J$19</definedName>
    <definedName name="_xlnm.Print_Area" localSheetId="15">Tachas!$A$1:$J$21</definedName>
    <definedName name="_xlnm.Print_Area" localSheetId="12">Terrap!$A$1:$J$45</definedName>
    <definedName name="_xlnm.Print_Area" localSheetId="8">Transp.!$A$1:$L$133</definedName>
    <definedName name="_xlnm.Print_Area" localSheetId="13">Valas!$A$1:$L$23</definedName>
    <definedName name="bdi_CD">BDI!$I$67</definedName>
    <definedName name="bdi_CD_dif">BDI!$H$69</definedName>
    <definedName name="bdi_SD">BDI!$I$46</definedName>
    <definedName name="bdi_SD_dif">BDI!$H$48</definedName>
    <definedName name="data_sicro">Dados!$B$5</definedName>
    <definedName name="data_sicro_txt">Dados!$B$6</definedName>
    <definedName name="lado">Dados!$B$3</definedName>
    <definedName name="local">Dados!$B$2</definedName>
    <definedName name="rodovia">Dados!$B$1</definedName>
    <definedName name="tipo">Dados!$B$4</definedName>
    <definedName name="_xlnm.Print_Titles" localSheetId="6">Cotação!$1:$3</definedName>
    <definedName name="_xlnm.Print_Titles" localSheetId="20">Enleivamento!$1:$4</definedName>
    <definedName name="_xlnm.Print_Titles" localSheetId="14">'Sin. V.'!$2:$5</definedName>
    <definedName name="_xlnm.Print_Titles" localSheetId="15">Tachas!$2:$5</definedName>
    <definedName name="_xlnm.Print_Titles" localSheetId="12">Terrap!$1:$4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28" l="1"/>
  <c r="B6" i="28"/>
  <c r="C6" i="28"/>
  <c r="D6" i="28"/>
  <c r="E6" i="28"/>
  <c r="G6" i="28" s="1"/>
  <c r="B7" i="28"/>
  <c r="C7" i="28"/>
  <c r="D7" i="28"/>
  <c r="E7" i="28"/>
  <c r="G7" i="28" s="1"/>
  <c r="B8" i="28"/>
  <c r="C8" i="28"/>
  <c r="D8" i="28"/>
  <c r="E8" i="28"/>
  <c r="G8" i="28" s="1"/>
  <c r="B9" i="28"/>
  <c r="C9" i="28"/>
  <c r="D9" i="28"/>
  <c r="E9" i="28"/>
  <c r="G9" i="28"/>
  <c r="B11" i="28"/>
  <c r="C11" i="28"/>
  <c r="B12" i="28"/>
  <c r="C12" i="28"/>
  <c r="D12" i="28"/>
  <c r="E12" i="28"/>
  <c r="G12" i="28" s="1"/>
  <c r="B13" i="28"/>
  <c r="C13" i="28"/>
  <c r="D13" i="28"/>
  <c r="B14" i="28"/>
  <c r="C14" i="28"/>
  <c r="D14" i="28"/>
  <c r="E14" i="28"/>
  <c r="G14" i="28" s="1"/>
  <c r="B15" i="28"/>
  <c r="C15" i="28"/>
  <c r="D15" i="28"/>
  <c r="E15" i="28"/>
  <c r="G15" i="28" s="1"/>
  <c r="B16" i="28"/>
  <c r="C16" i="28"/>
  <c r="D16" i="28"/>
  <c r="E16" i="28"/>
  <c r="G16" i="28" s="1"/>
  <c r="B17" i="28"/>
  <c r="C17" i="28"/>
  <c r="D17" i="28"/>
  <c r="E17" i="28"/>
  <c r="G17" i="28" s="1"/>
  <c r="B18" i="28"/>
  <c r="C18" i="28"/>
  <c r="D18" i="28"/>
  <c r="E18" i="28"/>
  <c r="G18" i="28" s="1"/>
  <c r="B19" i="28"/>
  <c r="C19" i="28"/>
  <c r="D19" i="28"/>
  <c r="B20" i="28"/>
  <c r="C20" i="28"/>
  <c r="D20" i="28"/>
  <c r="B22" i="28"/>
  <c r="C22" i="28"/>
  <c r="B23" i="28"/>
  <c r="C23" i="28"/>
  <c r="D23" i="28"/>
  <c r="B24" i="28"/>
  <c r="C24" i="28"/>
  <c r="D24" i="28"/>
  <c r="B25" i="28"/>
  <c r="C25" i="28"/>
  <c r="D25" i="28"/>
  <c r="B27" i="28"/>
  <c r="C27" i="28"/>
  <c r="B28" i="28"/>
  <c r="C28" i="28"/>
  <c r="D28" i="28"/>
  <c r="B29" i="28"/>
  <c r="C29" i="28"/>
  <c r="D29" i="28"/>
  <c r="B31" i="28"/>
  <c r="C31" i="28"/>
  <c r="B32" i="28"/>
  <c r="C32" i="28"/>
  <c r="D32" i="28"/>
  <c r="B33" i="28"/>
  <c r="C33" i="28"/>
  <c r="D33" i="28"/>
  <c r="B34" i="28"/>
  <c r="C34" i="28"/>
  <c r="D34" i="28"/>
  <c r="B35" i="28"/>
  <c r="C35" i="28"/>
  <c r="D35" i="28"/>
  <c r="B36" i="28"/>
  <c r="C36" i="28"/>
  <c r="D36" i="28"/>
  <c r="B37" i="28"/>
  <c r="C37" i="28"/>
  <c r="D37" i="28"/>
  <c r="B38" i="28"/>
  <c r="C38" i="28"/>
  <c r="D38" i="28"/>
  <c r="B40" i="28"/>
  <c r="C40" i="28"/>
  <c r="B41" i="28"/>
  <c r="C41" i="28"/>
  <c r="D41" i="28"/>
  <c r="B42" i="28"/>
  <c r="C42" i="28"/>
  <c r="D42" i="28"/>
  <c r="B43" i="28"/>
  <c r="C43" i="28"/>
  <c r="D43" i="28"/>
  <c r="B44" i="28"/>
  <c r="C44" i="28"/>
  <c r="D44" i="28"/>
  <c r="B45" i="28"/>
  <c r="C45" i="28"/>
  <c r="D45" i="28"/>
  <c r="B46" i="28"/>
  <c r="C46" i="28"/>
  <c r="D46" i="28"/>
  <c r="B48" i="28"/>
  <c r="C48" i="28"/>
  <c r="B49" i="28"/>
  <c r="C49" i="28"/>
  <c r="D49" i="28"/>
  <c r="B50" i="28"/>
  <c r="C50" i="28"/>
  <c r="D50" i="28"/>
  <c r="B51" i="28"/>
  <c r="C51" i="28"/>
  <c r="D51" i="28"/>
  <c r="B52" i="28"/>
  <c r="C52" i="28"/>
  <c r="D52" i="28"/>
  <c r="B53" i="28"/>
  <c r="C53" i="28"/>
  <c r="D53" i="28"/>
  <c r="B54" i="28"/>
  <c r="C54" i="28"/>
  <c r="D54" i="28"/>
  <c r="B56" i="28"/>
  <c r="C56" i="28"/>
  <c r="B57" i="28"/>
  <c r="C57" i="28"/>
  <c r="D57" i="28"/>
  <c r="E57" i="28"/>
  <c r="G57" i="28"/>
  <c r="B58" i="28"/>
  <c r="C58" i="28"/>
  <c r="D58" i="28"/>
  <c r="E58" i="28"/>
  <c r="G58" i="28" s="1"/>
  <c r="B59" i="28"/>
  <c r="C59" i="28"/>
  <c r="D59" i="28"/>
  <c r="E59" i="28"/>
  <c r="G59" i="28"/>
  <c r="F15" i="12"/>
  <c r="I15" i="12" s="1"/>
  <c r="I18" i="12" s="1"/>
  <c r="E34" i="2"/>
  <c r="E33" i="28" s="1"/>
  <c r="G33" i="28" s="1"/>
  <c r="E33" i="2"/>
  <c r="E32" i="28" s="1"/>
  <c r="G32" i="28" s="1"/>
  <c r="H52" i="15"/>
  <c r="I52" i="15"/>
  <c r="J52" i="15"/>
  <c r="H51" i="15"/>
  <c r="I51" i="15"/>
  <c r="J51" i="15"/>
  <c r="G51" i="15"/>
  <c r="H26" i="15"/>
  <c r="I26" i="15"/>
  <c r="J26" i="15"/>
  <c r="H35" i="15"/>
  <c r="I35" i="15"/>
  <c r="J35" i="15"/>
  <c r="J43" i="15"/>
  <c r="I43" i="15"/>
  <c r="H43" i="15"/>
  <c r="G43" i="15"/>
  <c r="H32" i="15"/>
  <c r="H48" i="15"/>
  <c r="H40" i="15"/>
  <c r="H13" i="15"/>
  <c r="H13" i="16"/>
  <c r="I13" i="16"/>
  <c r="I14" i="16"/>
  <c r="H10" i="16"/>
  <c r="G10" i="16"/>
  <c r="I10" i="16" s="1"/>
  <c r="H9" i="16"/>
  <c r="I9" i="16" s="1"/>
  <c r="I8" i="16"/>
  <c r="I7" i="16"/>
  <c r="I17" i="16"/>
  <c r="I16" i="16"/>
  <c r="I19" i="16"/>
  <c r="F9" i="12"/>
  <c r="F8" i="12"/>
  <c r="I8" i="12" s="1"/>
  <c r="I9" i="12"/>
  <c r="I10" i="12"/>
  <c r="F7" i="12"/>
  <c r="I7" i="12" s="1"/>
  <c r="F6" i="12"/>
  <c r="I6" i="12" s="1"/>
  <c r="I14" i="12"/>
  <c r="I13" i="12"/>
  <c r="F12" i="12"/>
  <c r="I12" i="12" s="1"/>
  <c r="E24" i="2"/>
  <c r="E23" i="28" s="1"/>
  <c r="G23" i="28" s="1"/>
  <c r="G26" i="28" s="1"/>
  <c r="E25" i="2"/>
  <c r="E24" i="28" s="1"/>
  <c r="G24" i="28" s="1"/>
  <c r="K28" i="10"/>
  <c r="J15" i="10"/>
  <c r="J14" i="10"/>
  <c r="J13" i="10"/>
  <c r="J12" i="10"/>
  <c r="J11" i="10"/>
  <c r="J10" i="10"/>
  <c r="E26" i="2"/>
  <c r="E25" i="28" s="1"/>
  <c r="G25" i="28" s="1"/>
  <c r="E7" i="26"/>
  <c r="E8" i="26"/>
  <c r="E9" i="26"/>
  <c r="E6" i="26"/>
  <c r="O20" i="2"/>
  <c r="O13" i="2"/>
  <c r="C4" i="28"/>
  <c r="B4" i="28"/>
  <c r="H32" i="5"/>
  <c r="N47" i="33"/>
  <c r="M47" i="33"/>
  <c r="I40" i="33"/>
  <c r="I37" i="33"/>
  <c r="I33" i="33"/>
  <c r="I30" i="33"/>
  <c r="D8" i="33" s="1"/>
  <c r="K26" i="33"/>
  <c r="K25" i="33"/>
  <c r="K22" i="33"/>
  <c r="K21" i="33"/>
  <c r="K20" i="33"/>
  <c r="K17" i="33"/>
  <c r="K16" i="33"/>
  <c r="K14" i="33"/>
  <c r="K13" i="33"/>
  <c r="K12" i="33"/>
  <c r="K10" i="33"/>
  <c r="K9" i="33"/>
  <c r="K8" i="33"/>
  <c r="N4" i="33"/>
  <c r="B3" i="33"/>
  <c r="B2" i="33"/>
  <c r="I40" i="32"/>
  <c r="I37" i="32"/>
  <c r="K26" i="32"/>
  <c r="K25" i="32"/>
  <c r="K24" i="32"/>
  <c r="K24" i="33" s="1"/>
  <c r="K22" i="32"/>
  <c r="K21" i="32"/>
  <c r="K20" i="32"/>
  <c r="K18" i="32"/>
  <c r="K18" i="33" s="1"/>
  <c r="K17" i="32"/>
  <c r="K16" i="32"/>
  <c r="I33" i="32"/>
  <c r="D22" i="32" s="1"/>
  <c r="I11" i="16" l="1"/>
  <c r="H31" i="5"/>
  <c r="D20" i="32"/>
  <c r="D21" i="32"/>
  <c r="I30" i="32"/>
  <c r="N4" i="32"/>
  <c r="B3" i="32"/>
  <c r="G43" i="24"/>
  <c r="G44" i="24"/>
  <c r="G45" i="24"/>
  <c r="G46" i="24"/>
  <c r="G47" i="24"/>
  <c r="G42" i="24"/>
  <c r="I4" i="31"/>
  <c r="G43" i="2"/>
  <c r="G44" i="2"/>
  <c r="G45" i="2"/>
  <c r="G46" i="2"/>
  <c r="G47" i="2"/>
  <c r="G42" i="2"/>
  <c r="B3" i="31" l="1"/>
  <c r="C49" i="33"/>
  <c r="C48" i="33"/>
  <c r="C47" i="33"/>
  <c r="S26" i="33"/>
  <c r="H26" i="33"/>
  <c r="G26" i="33"/>
  <c r="F26" i="33"/>
  <c r="E26" i="33"/>
  <c r="S25" i="33"/>
  <c r="H25" i="33"/>
  <c r="G25" i="33"/>
  <c r="F25" i="33"/>
  <c r="E25" i="33"/>
  <c r="S24" i="33"/>
  <c r="H24" i="33"/>
  <c r="G24" i="33"/>
  <c r="F24" i="33"/>
  <c r="E24" i="33"/>
  <c r="S22" i="33"/>
  <c r="H22" i="33"/>
  <c r="G22" i="33"/>
  <c r="F22" i="33"/>
  <c r="E22" i="33"/>
  <c r="S21" i="33"/>
  <c r="H21" i="33"/>
  <c r="G21" i="33"/>
  <c r="F21" i="33"/>
  <c r="E21" i="33"/>
  <c r="S20" i="33"/>
  <c r="H20" i="33"/>
  <c r="G20" i="33"/>
  <c r="F20" i="33"/>
  <c r="E20" i="33"/>
  <c r="S18" i="33"/>
  <c r="H18" i="33"/>
  <c r="G18" i="33"/>
  <c r="F18" i="33"/>
  <c r="E18" i="33"/>
  <c r="S17" i="33"/>
  <c r="H17" i="33"/>
  <c r="G17" i="33"/>
  <c r="F17" i="33"/>
  <c r="E17" i="33"/>
  <c r="S16" i="33"/>
  <c r="H16" i="33"/>
  <c r="G16" i="33"/>
  <c r="F16" i="33"/>
  <c r="E16" i="33"/>
  <c r="S14" i="33"/>
  <c r="H14" i="33"/>
  <c r="G14" i="33"/>
  <c r="F14" i="33"/>
  <c r="E14" i="33"/>
  <c r="S13" i="33"/>
  <c r="H13" i="33"/>
  <c r="G13" i="33"/>
  <c r="F13" i="33"/>
  <c r="E13" i="33"/>
  <c r="S12" i="33"/>
  <c r="H12" i="33"/>
  <c r="G12" i="33"/>
  <c r="F12" i="33"/>
  <c r="E12" i="33"/>
  <c r="S10" i="33"/>
  <c r="H10" i="33"/>
  <c r="G10" i="33"/>
  <c r="F10" i="33"/>
  <c r="E10" i="33"/>
  <c r="S9" i="33"/>
  <c r="H9" i="33"/>
  <c r="G9" i="33"/>
  <c r="F9" i="33"/>
  <c r="E9" i="33"/>
  <c r="S8" i="33"/>
  <c r="G8" i="33"/>
  <c r="I8" i="33" s="1"/>
  <c r="T8" i="33" s="1"/>
  <c r="C49" i="32"/>
  <c r="C48" i="32"/>
  <c r="M49" i="32" s="1"/>
  <c r="L8" i="32" s="1"/>
  <c r="C47" i="32"/>
  <c r="D10" i="32"/>
  <c r="S26" i="32"/>
  <c r="H26" i="32"/>
  <c r="G26" i="32"/>
  <c r="F26" i="32"/>
  <c r="E26" i="32"/>
  <c r="S25" i="32"/>
  <c r="H25" i="32"/>
  <c r="G25" i="32"/>
  <c r="F25" i="32"/>
  <c r="E25" i="32"/>
  <c r="S24" i="32"/>
  <c r="H24" i="32"/>
  <c r="G24" i="32"/>
  <c r="F24" i="32"/>
  <c r="E24" i="32"/>
  <c r="S22" i="32"/>
  <c r="H22" i="32"/>
  <c r="G22" i="32"/>
  <c r="F22" i="32"/>
  <c r="E22" i="32"/>
  <c r="S21" i="32"/>
  <c r="H21" i="32"/>
  <c r="G21" i="32"/>
  <c r="F21" i="32"/>
  <c r="E21" i="32"/>
  <c r="S20" i="32"/>
  <c r="H20" i="32"/>
  <c r="G20" i="32"/>
  <c r="F20" i="32"/>
  <c r="E20" i="32"/>
  <c r="S18" i="32"/>
  <c r="H18" i="32"/>
  <c r="G18" i="32"/>
  <c r="F18" i="32"/>
  <c r="E18" i="32"/>
  <c r="S17" i="32"/>
  <c r="H17" i="32"/>
  <c r="G17" i="32"/>
  <c r="F17" i="32"/>
  <c r="E17" i="32"/>
  <c r="S16" i="32"/>
  <c r="H16" i="32"/>
  <c r="G16" i="32"/>
  <c r="F16" i="32"/>
  <c r="E16" i="32"/>
  <c r="S14" i="32"/>
  <c r="H14" i="32"/>
  <c r="G14" i="32"/>
  <c r="F14" i="32"/>
  <c r="E14" i="32"/>
  <c r="S13" i="32"/>
  <c r="H13" i="32"/>
  <c r="G13" i="32"/>
  <c r="F13" i="32"/>
  <c r="E13" i="32"/>
  <c r="S12" i="32"/>
  <c r="H12" i="32"/>
  <c r="G12" i="32"/>
  <c r="F12" i="32"/>
  <c r="E12" i="32"/>
  <c r="S10" i="32"/>
  <c r="H10" i="32"/>
  <c r="G10" i="32"/>
  <c r="F10" i="32"/>
  <c r="E10" i="32"/>
  <c r="S9" i="32"/>
  <c r="H9" i="32"/>
  <c r="G9" i="32"/>
  <c r="F9" i="32"/>
  <c r="E9" i="32"/>
  <c r="D9" i="32"/>
  <c r="S8" i="32"/>
  <c r="G8" i="32"/>
  <c r="I8" i="32" s="1"/>
  <c r="T8" i="32" s="1"/>
  <c r="B2" i="32"/>
  <c r="I60" i="31"/>
  <c r="H60" i="31"/>
  <c r="I57" i="31"/>
  <c r="H57" i="31"/>
  <c r="I40" i="31"/>
  <c r="H40" i="31"/>
  <c r="I37" i="31"/>
  <c r="H37" i="31"/>
  <c r="E27" i="31"/>
  <c r="D27" i="31"/>
  <c r="C27" i="31"/>
  <c r="F8" i="31"/>
  <c r="B2" i="31"/>
  <c r="I18" i="33" l="1"/>
  <c r="T18" i="33" s="1"/>
  <c r="I16" i="33"/>
  <c r="T16" i="33" s="1"/>
  <c r="I22" i="33"/>
  <c r="I26" i="33"/>
  <c r="T26" i="33" s="1"/>
  <c r="I25" i="33"/>
  <c r="I9" i="32"/>
  <c r="I21" i="32"/>
  <c r="T21" i="32" s="1"/>
  <c r="I24" i="32"/>
  <c r="I16" i="32"/>
  <c r="I20" i="32"/>
  <c r="I26" i="32"/>
  <c r="T26" i="32" s="1"/>
  <c r="I18" i="32"/>
  <c r="T18" i="32" s="1"/>
  <c r="I14" i="32"/>
  <c r="I10" i="32"/>
  <c r="J10" i="32" s="1"/>
  <c r="I13" i="32"/>
  <c r="T13" i="32" s="1"/>
  <c r="I22" i="32"/>
  <c r="I17" i="32"/>
  <c r="I12" i="32"/>
  <c r="I25" i="32"/>
  <c r="T25" i="32" s="1"/>
  <c r="D8" i="32"/>
  <c r="M8" i="32" s="1"/>
  <c r="M49" i="33"/>
  <c r="F27" i="31"/>
  <c r="I10" i="33"/>
  <c r="I9" i="33"/>
  <c r="T9" i="33" s="1"/>
  <c r="I13" i="33"/>
  <c r="T13" i="33" s="1"/>
  <c r="I14" i="33"/>
  <c r="T14" i="33" s="1"/>
  <c r="I21" i="33"/>
  <c r="T21" i="33" s="1"/>
  <c r="J8" i="33"/>
  <c r="I20" i="33"/>
  <c r="T20" i="33" s="1"/>
  <c r="I24" i="33"/>
  <c r="T24" i="33" s="1"/>
  <c r="D9" i="33"/>
  <c r="I12" i="33"/>
  <c r="T12" i="33" s="1"/>
  <c r="I17" i="33"/>
  <c r="T17" i="33" s="1"/>
  <c r="T25" i="33"/>
  <c r="L20" i="33"/>
  <c r="L9" i="33"/>
  <c r="L24" i="33"/>
  <c r="L13" i="33"/>
  <c r="L17" i="33"/>
  <c r="L21" i="33"/>
  <c r="L10" i="33"/>
  <c r="L25" i="33"/>
  <c r="L14" i="33"/>
  <c r="L18" i="33"/>
  <c r="L8" i="33"/>
  <c r="L22" i="33"/>
  <c r="L12" i="33"/>
  <c r="L26" i="33"/>
  <c r="L16" i="33"/>
  <c r="T22" i="33"/>
  <c r="J9" i="32"/>
  <c r="T9" i="32"/>
  <c r="T22" i="32"/>
  <c r="T14" i="32"/>
  <c r="T20" i="32"/>
  <c r="L20" i="32"/>
  <c r="L9" i="32"/>
  <c r="L26" i="32"/>
  <c r="L16" i="32"/>
  <c r="L24" i="32"/>
  <c r="L13" i="32"/>
  <c r="L17" i="32"/>
  <c r="L21" i="32"/>
  <c r="L10" i="32"/>
  <c r="L25" i="32"/>
  <c r="L14" i="32"/>
  <c r="L18" i="32"/>
  <c r="L22" i="32"/>
  <c r="L12" i="32"/>
  <c r="T24" i="32"/>
  <c r="T12" i="32"/>
  <c r="J8" i="32" l="1"/>
  <c r="N8" i="32" s="1"/>
  <c r="J9" i="33"/>
  <c r="T16" i="32"/>
  <c r="T17" i="32"/>
  <c r="T10" i="33"/>
  <c r="T10" i="32"/>
  <c r="H8" i="31"/>
  <c r="H27" i="31" s="1"/>
  <c r="U12" i="33"/>
  <c r="U17" i="33"/>
  <c r="U22" i="33"/>
  <c r="U13" i="33"/>
  <c r="U8" i="33"/>
  <c r="M8" i="33"/>
  <c r="N8" i="33" s="1"/>
  <c r="U24" i="33"/>
  <c r="U26" i="33"/>
  <c r="U18" i="33"/>
  <c r="M9" i="33"/>
  <c r="U9" i="33"/>
  <c r="U14" i="33"/>
  <c r="U20" i="33"/>
  <c r="U21" i="33"/>
  <c r="U25" i="33"/>
  <c r="U16" i="33"/>
  <c r="U10" i="33"/>
  <c r="M9" i="32"/>
  <c r="N9" i="32" s="1"/>
  <c r="U9" i="32"/>
  <c r="M10" i="32"/>
  <c r="N10" i="32" s="1"/>
  <c r="U10" i="32"/>
  <c r="U20" i="32"/>
  <c r="U21" i="32"/>
  <c r="U12" i="32"/>
  <c r="U17" i="32"/>
  <c r="U22" i="32"/>
  <c r="U13" i="32"/>
  <c r="U8" i="32"/>
  <c r="U24" i="32"/>
  <c r="U18" i="32"/>
  <c r="U16" i="32"/>
  <c r="U25" i="32"/>
  <c r="U14" i="32"/>
  <c r="U26" i="32"/>
  <c r="I28" i="31"/>
  <c r="H64" i="31" s="1"/>
  <c r="N9" i="33" l="1"/>
  <c r="J37" i="32"/>
  <c r="J30" i="32"/>
  <c r="H44" i="31"/>
  <c r="M30" i="32" l="1"/>
  <c r="L30" i="32"/>
  <c r="K30" i="32"/>
  <c r="K37" i="32"/>
  <c r="L37" i="32"/>
  <c r="M37" i="32"/>
  <c r="H66" i="31"/>
  <c r="H45" i="31"/>
  <c r="H46" i="31" l="1"/>
  <c r="I44" i="31"/>
  <c r="H67" i="31"/>
  <c r="I64" i="31"/>
  <c r="I66" i="31" s="1"/>
  <c r="I67" i="31" s="1"/>
  <c r="G52" i="24" l="1"/>
  <c r="G17" i="24"/>
  <c r="G55" i="24"/>
  <c r="G51" i="24"/>
  <c r="G34" i="24"/>
  <c r="G26" i="24"/>
  <c r="G20" i="24"/>
  <c r="G16" i="24"/>
  <c r="G54" i="24"/>
  <c r="G50" i="24"/>
  <c r="G37" i="24"/>
  <c r="G33" i="24"/>
  <c r="G25" i="24"/>
  <c r="G19" i="24"/>
  <c r="G15" i="24"/>
  <c r="G53" i="24"/>
  <c r="G39" i="24"/>
  <c r="G36" i="24"/>
  <c r="G30" i="24"/>
  <c r="G24" i="24"/>
  <c r="G18" i="24"/>
  <c r="G14" i="24"/>
  <c r="G38" i="24"/>
  <c r="G35" i="24"/>
  <c r="G29" i="24"/>
  <c r="G21" i="24"/>
  <c r="G13" i="24"/>
  <c r="G59" i="24"/>
  <c r="G9" i="24"/>
  <c r="G6" i="24"/>
  <c r="G58" i="24"/>
  <c r="G10" i="24"/>
  <c r="G7" i="24"/>
  <c r="G60" i="24"/>
  <c r="G8" i="24"/>
  <c r="D20" i="33" l="1"/>
  <c r="D21" i="33"/>
  <c r="D22" i="33"/>
  <c r="J22" i="33" l="1"/>
  <c r="M22" i="33"/>
  <c r="J21" i="33"/>
  <c r="M21" i="33"/>
  <c r="J20" i="33"/>
  <c r="M20" i="33"/>
  <c r="N22" i="33" l="1"/>
  <c r="N20" i="33"/>
  <c r="N21" i="33"/>
  <c r="J33" i="33" l="1"/>
  <c r="J40" i="33"/>
  <c r="J22" i="32"/>
  <c r="M22" i="32"/>
  <c r="J21" i="32"/>
  <c r="M21" i="32"/>
  <c r="J20" i="32"/>
  <c r="M20" i="32"/>
  <c r="N20" i="32" l="1"/>
  <c r="L33" i="33"/>
  <c r="N22" i="32"/>
  <c r="M40" i="33"/>
  <c r="K40" i="33"/>
  <c r="L40" i="33"/>
  <c r="N21" i="32"/>
  <c r="K33" i="33"/>
  <c r="M33" i="33"/>
  <c r="J40" i="32" l="1"/>
  <c r="L40" i="32" s="1"/>
  <c r="J33" i="32"/>
  <c r="L33" i="32" s="1"/>
  <c r="M40" i="32" l="1"/>
  <c r="K40" i="32"/>
  <c r="K33" i="32"/>
  <c r="M33" i="32"/>
  <c r="K31" i="7" l="1"/>
  <c r="K32" i="7"/>
  <c r="K33" i="7"/>
  <c r="K34" i="7"/>
  <c r="K35" i="7"/>
  <c r="K36" i="7"/>
  <c r="K37" i="7"/>
  <c r="K30" i="7"/>
  <c r="E7" i="27" l="1"/>
  <c r="E6" i="27"/>
  <c r="Q20" i="2"/>
  <c r="R20" i="2" s="1"/>
  <c r="E20" i="2" s="1"/>
  <c r="E19" i="28" s="1"/>
  <c r="G19" i="28" s="1"/>
  <c r="O19" i="2"/>
  <c r="Q19" i="2" s="1"/>
  <c r="O17" i="2"/>
  <c r="O14" i="2"/>
  <c r="L14" i="2"/>
  <c r="L15" i="2" s="1"/>
  <c r="AH7" i="11"/>
  <c r="AH8" i="11"/>
  <c r="AH9" i="11"/>
  <c r="AH10" i="11"/>
  <c r="AH11" i="11"/>
  <c r="AH12" i="11"/>
  <c r="AH13" i="11"/>
  <c r="AH6" i="11"/>
  <c r="K18" i="7"/>
  <c r="K17" i="7"/>
  <c r="K16" i="7"/>
  <c r="K12" i="7"/>
  <c r="K11" i="7"/>
  <c r="K9" i="7"/>
  <c r="K8" i="7"/>
  <c r="O16" i="2" l="1"/>
  <c r="O15" i="2"/>
  <c r="N13" i="2"/>
  <c r="L17" i="2"/>
  <c r="L16" i="2"/>
  <c r="H45" i="15"/>
  <c r="D5" i="28"/>
  <c r="C5" i="28"/>
  <c r="B5" i="28"/>
  <c r="N21" i="24"/>
  <c r="O21" i="24"/>
  <c r="E21" i="2"/>
  <c r="E20" i="28" s="1"/>
  <c r="G20" i="28" s="1"/>
  <c r="P21" i="24" l="1"/>
  <c r="Q21" i="24" s="1"/>
  <c r="E21" i="24"/>
  <c r="D8" i="17" l="1"/>
  <c r="O18" i="2"/>
  <c r="Q15" i="2"/>
  <c r="L18" i="2"/>
  <c r="Q14" i="2"/>
  <c r="J10" i="17" l="1"/>
  <c r="F10" i="17"/>
  <c r="K10" i="17" l="1"/>
  <c r="E23" i="27"/>
  <c r="E29" i="2" s="1"/>
  <c r="E28" i="28" s="1"/>
  <c r="G28" i="28" s="1"/>
  <c r="B3" i="27"/>
  <c r="F6" i="23"/>
  <c r="R18" i="2"/>
  <c r="E18" i="2" s="1"/>
  <c r="H123" i="5"/>
  <c r="H120" i="5"/>
  <c r="H104" i="5"/>
  <c r="H103" i="5"/>
  <c r="H102" i="5"/>
  <c r="H101" i="5"/>
  <c r="H100" i="5"/>
  <c r="H98" i="5"/>
  <c r="H95" i="5"/>
  <c r="H92" i="5"/>
  <c r="H91" i="5"/>
  <c r="H81" i="5"/>
  <c r="H82" i="5"/>
  <c r="H83" i="5"/>
  <c r="H80" i="5"/>
  <c r="H68" i="5"/>
  <c r="H34" i="5"/>
  <c r="H37" i="5"/>
  <c r="H38" i="5"/>
  <c r="H39" i="5"/>
  <c r="H40" i="5"/>
  <c r="H36" i="5"/>
  <c r="H43" i="5"/>
  <c r="H44" i="5"/>
  <c r="H45" i="5"/>
  <c r="H42" i="5"/>
  <c r="H49" i="5"/>
  <c r="H50" i="5"/>
  <c r="H51" i="5"/>
  <c r="H52" i="5"/>
  <c r="H48" i="5"/>
  <c r="H55" i="5"/>
  <c r="H56" i="5"/>
  <c r="H57" i="5"/>
  <c r="H54" i="5"/>
  <c r="H61" i="5"/>
  <c r="H62" i="5"/>
  <c r="H63" i="5"/>
  <c r="H64" i="5"/>
  <c r="H60" i="5"/>
  <c r="H66" i="5"/>
  <c r="H29" i="5"/>
  <c r="E24" i="26"/>
  <c r="E23" i="26"/>
  <c r="I28" i="10"/>
  <c r="F7" i="17"/>
  <c r="F8" i="17"/>
  <c r="F6" i="17"/>
  <c r="B3" i="26"/>
  <c r="E58" i="5" l="1"/>
  <c r="E67" i="5" s="1"/>
  <c r="I68" i="5" s="1"/>
  <c r="E29" i="24"/>
  <c r="E25" i="24"/>
  <c r="E24" i="24"/>
  <c r="E26" i="24"/>
  <c r="E46" i="5"/>
  <c r="E53" i="5" s="1"/>
  <c r="I54" i="5" s="1"/>
  <c r="H122" i="5"/>
  <c r="H119" i="5"/>
  <c r="H94" i="5"/>
  <c r="H96" i="5"/>
  <c r="H7" i="15"/>
  <c r="H28" i="15"/>
  <c r="C27" i="25"/>
  <c r="E6" i="25"/>
  <c r="E5" i="25"/>
  <c r="E18" i="24"/>
  <c r="B2" i="25"/>
  <c r="H61" i="24"/>
  <c r="H56" i="24"/>
  <c r="H48" i="24"/>
  <c r="H40" i="24"/>
  <c r="H31" i="24"/>
  <c r="H27" i="24"/>
  <c r="H22" i="24"/>
  <c r="M20" i="24"/>
  <c r="O19" i="24"/>
  <c r="N19" i="24"/>
  <c r="N17" i="24"/>
  <c r="Q17" i="24" s="1"/>
  <c r="K16" i="24"/>
  <c r="Q16" i="24" s="1"/>
  <c r="M15" i="24"/>
  <c r="Q15" i="24" s="1"/>
  <c r="M14" i="24"/>
  <c r="Q14" i="24" s="1"/>
  <c r="P13" i="24"/>
  <c r="M13" i="24"/>
  <c r="H11" i="24"/>
  <c r="E28" i="5" l="1"/>
  <c r="E30" i="5" s="1"/>
  <c r="E59" i="5"/>
  <c r="I60" i="5" s="1"/>
  <c r="K60" i="5" s="1"/>
  <c r="E65" i="5"/>
  <c r="I66" i="5" s="1"/>
  <c r="K66" i="5" s="1"/>
  <c r="E27" i="25"/>
  <c r="E30" i="2" s="1"/>
  <c r="E29" i="28" s="1"/>
  <c r="G29" i="28" s="1"/>
  <c r="G30" i="28" s="1"/>
  <c r="I57" i="5"/>
  <c r="E47" i="5"/>
  <c r="I52" i="5" s="1"/>
  <c r="I55" i="5"/>
  <c r="I56" i="5"/>
  <c r="K68" i="5"/>
  <c r="Q13" i="24"/>
  <c r="P19" i="24"/>
  <c r="Q19" i="24" s="1"/>
  <c r="I20" i="16"/>
  <c r="E38" i="2" s="1"/>
  <c r="E37" i="28" s="1"/>
  <c r="G37" i="28" s="1"/>
  <c r="E41" i="5" l="1"/>
  <c r="I42" i="5" s="1"/>
  <c r="I29" i="5"/>
  <c r="E33" i="5"/>
  <c r="E35" i="5" s="1"/>
  <c r="I103" i="5" s="1"/>
  <c r="K103" i="5" s="1"/>
  <c r="I31" i="5"/>
  <c r="I61" i="5"/>
  <c r="K61" i="5" s="1"/>
  <c r="I63" i="5"/>
  <c r="K63" i="5" s="1"/>
  <c r="I64" i="5"/>
  <c r="K64" i="5" s="1"/>
  <c r="I62" i="5"/>
  <c r="K62" i="5" s="1"/>
  <c r="E30" i="24"/>
  <c r="I51" i="5"/>
  <c r="I50" i="5"/>
  <c r="I49" i="5"/>
  <c r="I48" i="5"/>
  <c r="I18" i="16"/>
  <c r="E39" i="2" s="1"/>
  <c r="E38" i="28" s="1"/>
  <c r="G38" i="28" s="1"/>
  <c r="F45" i="23"/>
  <c r="F39" i="23"/>
  <c r="B2" i="23"/>
  <c r="G15" i="7"/>
  <c r="L15" i="7" s="1"/>
  <c r="L7" i="7"/>
  <c r="E121" i="5" l="1"/>
  <c r="I122" i="5" s="1"/>
  <c r="E39" i="24"/>
  <c r="I45" i="5"/>
  <c r="I44" i="5"/>
  <c r="I102" i="5"/>
  <c r="K102" i="5" s="1"/>
  <c r="I43" i="5"/>
  <c r="I40" i="5"/>
  <c r="I39" i="5"/>
  <c r="I100" i="5"/>
  <c r="K100" i="5" s="1"/>
  <c r="I34" i="5"/>
  <c r="I38" i="5"/>
  <c r="I104" i="5"/>
  <c r="K104" i="5" s="1"/>
  <c r="I36" i="5"/>
  <c r="I37" i="5"/>
  <c r="I101" i="5"/>
  <c r="K101" i="5" s="1"/>
  <c r="I32" i="5"/>
  <c r="E38" i="24"/>
  <c r="E118" i="5"/>
  <c r="R19" i="2"/>
  <c r="E19" i="2" s="1"/>
  <c r="I39" i="23"/>
  <c r="F10" i="21"/>
  <c r="F9" i="21"/>
  <c r="F8" i="21"/>
  <c r="I123" i="5" l="1"/>
  <c r="K123" i="5" s="1"/>
  <c r="I119" i="5"/>
  <c r="I120" i="5"/>
  <c r="K120" i="5" s="1"/>
  <c r="R17" i="2"/>
  <c r="E17" i="2" s="1"/>
  <c r="E19" i="24"/>
  <c r="I40" i="23"/>
  <c r="F40" i="23"/>
  <c r="K27" i="20"/>
  <c r="C35" i="23"/>
  <c r="C31" i="23"/>
  <c r="E46" i="2" l="1"/>
  <c r="E45" i="28" s="1"/>
  <c r="G45" i="28" s="1"/>
  <c r="E17" i="24"/>
  <c r="E46" i="24" s="1"/>
  <c r="E47" i="24" s="1"/>
  <c r="C32" i="23"/>
  <c r="F31" i="23"/>
  <c r="I31" i="23"/>
  <c r="C36" i="23"/>
  <c r="F35" i="23"/>
  <c r="I35" i="23"/>
  <c r="I6" i="23"/>
  <c r="K26" i="20"/>
  <c r="K25" i="20"/>
  <c r="I34" i="32" l="1"/>
  <c r="D24" i="32" s="1"/>
  <c r="I34" i="33"/>
  <c r="F8" i="23"/>
  <c r="I8" i="23"/>
  <c r="I36" i="23"/>
  <c r="F36" i="23"/>
  <c r="F7" i="23"/>
  <c r="I7" i="23"/>
  <c r="F32" i="23"/>
  <c r="I32" i="23"/>
  <c r="D25" i="32" l="1"/>
  <c r="M25" i="32" s="1"/>
  <c r="D26" i="32"/>
  <c r="M26" i="32" s="1"/>
  <c r="D24" i="33"/>
  <c r="D26" i="33"/>
  <c r="D25" i="33"/>
  <c r="M24" i="32"/>
  <c r="J24" i="32"/>
  <c r="I9" i="23"/>
  <c r="F9" i="23"/>
  <c r="J26" i="32" l="1"/>
  <c r="N26" i="32" s="1"/>
  <c r="J25" i="32"/>
  <c r="N25" i="32" s="1"/>
  <c r="J25" i="33"/>
  <c r="M25" i="33"/>
  <c r="J26" i="33"/>
  <c r="M26" i="33"/>
  <c r="M24" i="33"/>
  <c r="J24" i="33"/>
  <c r="N24" i="32"/>
  <c r="F10" i="23"/>
  <c r="I10" i="23"/>
  <c r="N26" i="33" l="1"/>
  <c r="J41" i="32"/>
  <c r="N25" i="33"/>
  <c r="N24" i="33"/>
  <c r="J34" i="32"/>
  <c r="F11" i="23"/>
  <c r="I11" i="23"/>
  <c r="J34" i="33" l="1"/>
  <c r="J41" i="33"/>
  <c r="F12" i="23"/>
  <c r="I12" i="23"/>
  <c r="I13" i="23" l="1"/>
  <c r="F13" i="23"/>
  <c r="F14" i="23" l="1"/>
  <c r="I14" i="23"/>
  <c r="G23" i="21"/>
  <c r="G22" i="21" s="1"/>
  <c r="G17" i="21"/>
  <c r="G15" i="21"/>
  <c r="G13" i="21" s="1"/>
  <c r="G10" i="21" s="1"/>
  <c r="G9" i="21" s="1"/>
  <c r="G8" i="21" s="1"/>
  <c r="G7" i="21" s="1"/>
  <c r="G6" i="21" s="1"/>
  <c r="F15" i="23" l="1"/>
  <c r="I15" i="23"/>
  <c r="G19" i="21"/>
  <c r="G27" i="21" s="1"/>
  <c r="K10" i="20"/>
  <c r="K23" i="20"/>
  <c r="K15" i="20"/>
  <c r="K21" i="20"/>
  <c r="K16" i="20"/>
  <c r="K11" i="20"/>
  <c r="K22" i="20"/>
  <c r="F16" i="23" l="1"/>
  <c r="I16" i="23"/>
  <c r="G32" i="21"/>
  <c r="K28" i="20"/>
  <c r="K18" i="20"/>
  <c r="K12" i="20"/>
  <c r="I17" i="23" l="1"/>
  <c r="F17" i="23"/>
  <c r="G34" i="21"/>
  <c r="K30" i="20"/>
  <c r="K33" i="20" s="1"/>
  <c r="F18" i="23" l="1"/>
  <c r="I18" i="23"/>
  <c r="F19" i="23" l="1"/>
  <c r="I19" i="23"/>
  <c r="F20" i="23" l="1"/>
  <c r="I20" i="23"/>
  <c r="I21" i="23" l="1"/>
  <c r="F21" i="23"/>
  <c r="F22" i="23" l="1"/>
  <c r="I22" i="23"/>
  <c r="F23" i="23" l="1"/>
  <c r="I23" i="23"/>
  <c r="F24" i="23" l="1"/>
  <c r="I24" i="23"/>
  <c r="I25" i="23" l="1"/>
  <c r="F25" i="23"/>
  <c r="F26" i="23" l="1"/>
  <c r="I26" i="23"/>
  <c r="F27" i="23" l="1"/>
  <c r="I27" i="23"/>
  <c r="F28" i="23" l="1"/>
  <c r="I28" i="23"/>
  <c r="I45" i="23" l="1"/>
  <c r="G21" i="7"/>
  <c r="E5" i="28" l="1"/>
  <c r="E8" i="24"/>
  <c r="G5" i="28" l="1"/>
  <c r="G10" i="28" s="1"/>
  <c r="E6" i="24"/>
  <c r="N15" i="2" l="1"/>
  <c r="R15" i="2" s="1"/>
  <c r="N14" i="2"/>
  <c r="R14" i="2" s="1"/>
  <c r="E14" i="2" s="1"/>
  <c r="E13" i="28" s="1"/>
  <c r="G13" i="28" s="1"/>
  <c r="G21" i="28" s="1"/>
  <c r="G62" i="28" s="1"/>
  <c r="Q13" i="2"/>
  <c r="R13" i="2" s="1"/>
  <c r="S13" i="2" s="1"/>
  <c r="J7" i="17"/>
  <c r="K7" i="17" s="1"/>
  <c r="J8" i="17"/>
  <c r="K8" i="17" s="1"/>
  <c r="J6" i="17"/>
  <c r="K6" i="17" s="1"/>
  <c r="B3" i="17"/>
  <c r="B3" i="10"/>
  <c r="B3" i="15"/>
  <c r="B3" i="16"/>
  <c r="E36" i="2"/>
  <c r="E35" i="28" s="1"/>
  <c r="G35" i="28" s="1"/>
  <c r="H37" i="15"/>
  <c r="G35" i="15"/>
  <c r="G26" i="15"/>
  <c r="E20" i="24" l="1"/>
  <c r="E25" i="5"/>
  <c r="I26" i="5" s="1"/>
  <c r="K26" i="5" s="1"/>
  <c r="K129" i="5" s="1"/>
  <c r="G52" i="15"/>
  <c r="E36" i="24" l="1"/>
  <c r="E37" i="2"/>
  <c r="E36" i="28" s="1"/>
  <c r="G36" i="28" s="1"/>
  <c r="B3" i="12"/>
  <c r="B3" i="11"/>
  <c r="E93" i="5" l="1"/>
  <c r="E34" i="24"/>
  <c r="E10" i="24"/>
  <c r="I11" i="12"/>
  <c r="E35" i="2" s="1"/>
  <c r="E34" i="28" s="1"/>
  <c r="G34" i="28" s="1"/>
  <c r="G39" i="28" s="1"/>
  <c r="J7" i="10"/>
  <c r="J8" i="10"/>
  <c r="J9" i="10"/>
  <c r="J6" i="10"/>
  <c r="E37" i="24" l="1"/>
  <c r="E33" i="24"/>
  <c r="E97" i="5"/>
  <c r="I94" i="5"/>
  <c r="I96" i="5"/>
  <c r="I95" i="5"/>
  <c r="E9" i="24"/>
  <c r="E7" i="24"/>
  <c r="E15" i="2"/>
  <c r="E35" i="24" l="1"/>
  <c r="E15" i="24"/>
  <c r="I98" i="5"/>
  <c r="E99" i="5"/>
  <c r="E14" i="24"/>
  <c r="R16" i="2"/>
  <c r="E16" i="2" s="1"/>
  <c r="E44" i="2" l="1"/>
  <c r="E43" i="28" s="1"/>
  <c r="G43" i="28" s="1"/>
  <c r="E16" i="24"/>
  <c r="E44" i="24" s="1"/>
  <c r="E45" i="24" s="1"/>
  <c r="E13" i="2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12" i="7"/>
  <c r="G11" i="7"/>
  <c r="G9" i="7"/>
  <c r="G8" i="7"/>
  <c r="K19" i="7"/>
  <c r="G16" i="7"/>
  <c r="G17" i="7"/>
  <c r="G18" i="7"/>
  <c r="K13" i="7"/>
  <c r="K22" i="7"/>
  <c r="K38" i="7"/>
  <c r="I12" i="7"/>
  <c r="I11" i="7"/>
  <c r="I9" i="7"/>
  <c r="I8" i="7"/>
  <c r="I32" i="32" l="1"/>
  <c r="D18" i="32" s="1"/>
  <c r="I32" i="33"/>
  <c r="E42" i="2"/>
  <c r="E41" i="28" s="1"/>
  <c r="G41" i="28" s="1"/>
  <c r="E13" i="24"/>
  <c r="E42" i="24" s="1"/>
  <c r="E43" i="24" s="1"/>
  <c r="L30" i="7"/>
  <c r="L24" i="7"/>
  <c r="L32" i="7"/>
  <c r="L16" i="7"/>
  <c r="L18" i="7"/>
  <c r="L28" i="7"/>
  <c r="L31" i="7"/>
  <c r="L11" i="7"/>
  <c r="L17" i="7"/>
  <c r="L36" i="7"/>
  <c r="L25" i="7"/>
  <c r="L9" i="7"/>
  <c r="L12" i="7"/>
  <c r="L27" i="7"/>
  <c r="L37" i="7"/>
  <c r="L21" i="7"/>
  <c r="L8" i="7"/>
  <c r="L34" i="7"/>
  <c r="L29" i="7"/>
  <c r="L35" i="7"/>
  <c r="L26" i="7"/>
  <c r="L33" i="7"/>
  <c r="I31" i="32" l="1"/>
  <c r="D13" i="32" s="1"/>
  <c r="I31" i="33"/>
  <c r="D17" i="32"/>
  <c r="M17" i="32" s="1"/>
  <c r="D16" i="32"/>
  <c r="M16" i="32" s="1"/>
  <c r="D18" i="33"/>
  <c r="D17" i="33"/>
  <c r="D16" i="33"/>
  <c r="J18" i="32"/>
  <c r="M18" i="32"/>
  <c r="L22" i="7"/>
  <c r="L13" i="7"/>
  <c r="L38" i="7"/>
  <c r="L19" i="7"/>
  <c r="J17" i="32" l="1"/>
  <c r="N17" i="32" s="1"/>
  <c r="D12" i="32"/>
  <c r="J12" i="32" s="1"/>
  <c r="D14" i="32"/>
  <c r="M14" i="32" s="1"/>
  <c r="J16" i="32"/>
  <c r="N16" i="32" s="1"/>
  <c r="J16" i="33"/>
  <c r="M16" i="33"/>
  <c r="J17" i="33"/>
  <c r="M17" i="33"/>
  <c r="D10" i="33"/>
  <c r="J18" i="33"/>
  <c r="M18" i="33"/>
  <c r="D14" i="33"/>
  <c r="D12" i="33"/>
  <c r="D13" i="33"/>
  <c r="J13" i="32"/>
  <c r="M13" i="32"/>
  <c r="N18" i="32"/>
  <c r="L40" i="7"/>
  <c r="J14" i="32" l="1"/>
  <c r="N14" i="32" s="1"/>
  <c r="M12" i="32"/>
  <c r="N12" i="32" s="1"/>
  <c r="N17" i="33"/>
  <c r="N16" i="33"/>
  <c r="N18" i="33"/>
  <c r="J14" i="33"/>
  <c r="M14" i="33"/>
  <c r="M10" i="33"/>
  <c r="J10" i="33"/>
  <c r="M13" i="33"/>
  <c r="J13" i="33"/>
  <c r="M12" i="33"/>
  <c r="J12" i="33"/>
  <c r="J32" i="32"/>
  <c r="J39" i="32"/>
  <c r="N13" i="32"/>
  <c r="H61" i="2"/>
  <c r="J32" i="33" l="1"/>
  <c r="N14" i="33"/>
  <c r="N12" i="33"/>
  <c r="J39" i="33"/>
  <c r="N10" i="33"/>
  <c r="J30" i="33" s="1"/>
  <c r="M41" i="32"/>
  <c r="N13" i="33"/>
  <c r="M34" i="32"/>
  <c r="L34" i="32"/>
  <c r="K41" i="32"/>
  <c r="K34" i="32"/>
  <c r="L41" i="32"/>
  <c r="J31" i="32"/>
  <c r="M31" i="32" s="1"/>
  <c r="J38" i="32"/>
  <c r="M39" i="32"/>
  <c r="L39" i="32"/>
  <c r="K39" i="32"/>
  <c r="L32" i="32"/>
  <c r="M32" i="32"/>
  <c r="K32" i="32"/>
  <c r="E115" i="5"/>
  <c r="K119" i="5" s="1"/>
  <c r="J37" i="33" l="1"/>
  <c r="L37" i="33" s="1"/>
  <c r="K39" i="33"/>
  <c r="L39" i="33"/>
  <c r="M30" i="33"/>
  <c r="L30" i="33"/>
  <c r="K30" i="33"/>
  <c r="K34" i="33"/>
  <c r="J31" i="33"/>
  <c r="M41" i="33"/>
  <c r="J38" i="33"/>
  <c r="L41" i="33"/>
  <c r="K32" i="33"/>
  <c r="L34" i="33"/>
  <c r="L32" i="33"/>
  <c r="K41" i="33"/>
  <c r="M32" i="33"/>
  <c r="M34" i="33"/>
  <c r="M39" i="33"/>
  <c r="H47" i="2"/>
  <c r="L31" i="32"/>
  <c r="K31" i="32"/>
  <c r="H44" i="2"/>
  <c r="H45" i="2"/>
  <c r="M38" i="32"/>
  <c r="K38" i="32"/>
  <c r="L38" i="32"/>
  <c r="K122" i="5"/>
  <c r="E110" i="5"/>
  <c r="I114" i="5" s="1"/>
  <c r="K114" i="5" s="1"/>
  <c r="E105" i="5"/>
  <c r="I107" i="5" s="1"/>
  <c r="K107" i="5" s="1"/>
  <c r="E89" i="5"/>
  <c r="H73" i="5"/>
  <c r="H74" i="5"/>
  <c r="H75" i="5"/>
  <c r="H76" i="5"/>
  <c r="H72" i="5"/>
  <c r="H78" i="5"/>
  <c r="H85" i="5"/>
  <c r="E70" i="5"/>
  <c r="K29" i="5"/>
  <c r="H26" i="5"/>
  <c r="E20" i="5"/>
  <c r="H17" i="5"/>
  <c r="H18" i="5"/>
  <c r="H19" i="5"/>
  <c r="H16" i="5"/>
  <c r="H8" i="5"/>
  <c r="H9" i="5"/>
  <c r="H10" i="5"/>
  <c r="H11" i="5"/>
  <c r="H14" i="5"/>
  <c r="E13" i="5"/>
  <c r="I14" i="5" s="1"/>
  <c r="K14" i="5" s="1"/>
  <c r="H12" i="5"/>
  <c r="B88" i="5"/>
  <c r="B69" i="5"/>
  <c r="B27" i="5"/>
  <c r="B4" i="5"/>
  <c r="E84" i="5"/>
  <c r="I87" i="5" s="1"/>
  <c r="M37" i="33" l="1"/>
  <c r="K37" i="33"/>
  <c r="M38" i="33"/>
  <c r="L38" i="33"/>
  <c r="K38" i="33"/>
  <c r="L31" i="33"/>
  <c r="M31" i="33"/>
  <c r="K31" i="33"/>
  <c r="H46" i="2"/>
  <c r="H43" i="2"/>
  <c r="H117" i="5"/>
  <c r="H116" i="5"/>
  <c r="E90" i="5"/>
  <c r="E71" i="5"/>
  <c r="I74" i="5" s="1"/>
  <c r="K74" i="5" s="1"/>
  <c r="E79" i="5"/>
  <c r="K56" i="5"/>
  <c r="K55" i="5"/>
  <c r="K57" i="5"/>
  <c r="K54" i="5"/>
  <c r="H107" i="5"/>
  <c r="I117" i="5"/>
  <c r="K117" i="5" s="1"/>
  <c r="I116" i="5"/>
  <c r="K116" i="5" s="1"/>
  <c r="I112" i="5"/>
  <c r="K112" i="5" s="1"/>
  <c r="I113" i="5"/>
  <c r="K113" i="5" s="1"/>
  <c r="H113" i="5"/>
  <c r="I111" i="5"/>
  <c r="K111" i="5" s="1"/>
  <c r="I108" i="5"/>
  <c r="K108" i="5" s="1"/>
  <c r="H111" i="5"/>
  <c r="H106" i="5"/>
  <c r="H112" i="5"/>
  <c r="H114" i="5"/>
  <c r="H109" i="5"/>
  <c r="H108" i="5"/>
  <c r="I106" i="5"/>
  <c r="K106" i="5" s="1"/>
  <c r="I109" i="5"/>
  <c r="K109" i="5" s="1"/>
  <c r="H87" i="5"/>
  <c r="H86" i="5"/>
  <c r="I85" i="5"/>
  <c r="K85" i="5" s="1"/>
  <c r="I86" i="5"/>
  <c r="K86" i="5" s="1"/>
  <c r="E77" i="5"/>
  <c r="I78" i="5" s="1"/>
  <c r="K78" i="5" s="1"/>
  <c r="E15" i="5"/>
  <c r="K34" i="5"/>
  <c r="H24" i="5"/>
  <c r="H21" i="5"/>
  <c r="H22" i="5"/>
  <c r="K87" i="5"/>
  <c r="H6" i="5"/>
  <c r="I21" i="5"/>
  <c r="K21" i="5" s="1"/>
  <c r="I22" i="5"/>
  <c r="K22" i="5" s="1"/>
  <c r="H42" i="2" l="1"/>
  <c r="K132" i="5"/>
  <c r="E55" i="24" s="1"/>
  <c r="K96" i="5"/>
  <c r="K94" i="5"/>
  <c r="K95" i="5"/>
  <c r="K98" i="5"/>
  <c r="I76" i="5"/>
  <c r="K76" i="5" s="1"/>
  <c r="I72" i="5"/>
  <c r="K72" i="5" s="1"/>
  <c r="I92" i="5"/>
  <c r="K92" i="5" s="1"/>
  <c r="I91" i="5"/>
  <c r="K91" i="5" s="1"/>
  <c r="I73" i="5"/>
  <c r="K73" i="5" s="1"/>
  <c r="I75" i="5"/>
  <c r="K75" i="5" s="1"/>
  <c r="K130" i="5"/>
  <c r="I81" i="5"/>
  <c r="K81" i="5" s="1"/>
  <c r="I82" i="5"/>
  <c r="K82" i="5" s="1"/>
  <c r="I83" i="5"/>
  <c r="K83" i="5" s="1"/>
  <c r="I80" i="5"/>
  <c r="K80" i="5" s="1"/>
  <c r="K50" i="5"/>
  <c r="K49" i="5"/>
  <c r="K51" i="5"/>
  <c r="K52" i="5"/>
  <c r="K48" i="5"/>
  <c r="K44" i="5"/>
  <c r="K42" i="5"/>
  <c r="K43" i="5"/>
  <c r="K45" i="5"/>
  <c r="K31" i="5"/>
  <c r="K32" i="5"/>
  <c r="I17" i="5"/>
  <c r="K17" i="5" s="1"/>
  <c r="I18" i="5"/>
  <c r="K18" i="5" s="1"/>
  <c r="I19" i="5"/>
  <c r="K19" i="5" s="1"/>
  <c r="I16" i="5"/>
  <c r="K16" i="5" s="1"/>
  <c r="E53" i="24" l="1"/>
  <c r="K37" i="5"/>
  <c r="K38" i="5"/>
  <c r="K39" i="5"/>
  <c r="K40" i="5"/>
  <c r="K36" i="5"/>
  <c r="E55" i="2"/>
  <c r="E54" i="28" s="1"/>
  <c r="G54" i="28" s="1"/>
  <c r="H54" i="24" l="1"/>
  <c r="H29" i="24"/>
  <c r="I29" i="24" s="1"/>
  <c r="H21" i="24"/>
  <c r="I21" i="24" s="1"/>
  <c r="H30" i="24"/>
  <c r="I30" i="24" s="1"/>
  <c r="H6" i="24"/>
  <c r="I6" i="24" s="1"/>
  <c r="H35" i="24"/>
  <c r="I35" i="24" s="1"/>
  <c r="H19" i="24"/>
  <c r="I19" i="24" s="1"/>
  <c r="H51" i="24"/>
  <c r="H34" i="24"/>
  <c r="I34" i="24" s="1"/>
  <c r="H26" i="24"/>
  <c r="I26" i="24" s="1"/>
  <c r="H18" i="24"/>
  <c r="I18" i="24" s="1"/>
  <c r="H9" i="24"/>
  <c r="I9" i="24" s="1"/>
  <c r="H38" i="24"/>
  <c r="I38" i="24" s="1"/>
  <c r="H37" i="24"/>
  <c r="I37" i="24" s="1"/>
  <c r="H33" i="24"/>
  <c r="I33" i="24" s="1"/>
  <c r="H39" i="24"/>
  <c r="I39" i="24" s="1"/>
  <c r="H36" i="24"/>
  <c r="I36" i="24" s="1"/>
  <c r="K131" i="5"/>
  <c r="E54" i="24" s="1"/>
  <c r="H25" i="24"/>
  <c r="I25" i="24" s="1"/>
  <c r="H24" i="24"/>
  <c r="I24" i="24" s="1"/>
  <c r="E53" i="2"/>
  <c r="E52" i="28" s="1"/>
  <c r="G52" i="28" s="1"/>
  <c r="H50" i="24"/>
  <c r="H10" i="24"/>
  <c r="I10" i="24" s="1"/>
  <c r="H52" i="24"/>
  <c r="H8" i="24"/>
  <c r="I8" i="24" s="1"/>
  <c r="H13" i="24"/>
  <c r="I13" i="24" s="1"/>
  <c r="H58" i="24"/>
  <c r="I58" i="24" s="1"/>
  <c r="H20" i="24"/>
  <c r="I20" i="24" s="1"/>
  <c r="H15" i="24"/>
  <c r="I15" i="24" s="1"/>
  <c r="H53" i="24"/>
  <c r="I53" i="24" s="1"/>
  <c r="H60" i="24"/>
  <c r="I60" i="24" s="1"/>
  <c r="H7" i="24"/>
  <c r="I7" i="24" s="1"/>
  <c r="H59" i="24"/>
  <c r="I59" i="24" s="1"/>
  <c r="H16" i="24"/>
  <c r="I16" i="24" s="1"/>
  <c r="H55" i="24"/>
  <c r="I55" i="24" s="1"/>
  <c r="H14" i="24"/>
  <c r="I14" i="24" s="1"/>
  <c r="H17" i="24"/>
  <c r="I17" i="24" s="1"/>
  <c r="H56" i="2"/>
  <c r="H48" i="2"/>
  <c r="H40" i="2"/>
  <c r="H31" i="2"/>
  <c r="H27" i="2"/>
  <c r="H22" i="2"/>
  <c r="H11" i="2"/>
  <c r="I22" i="24" l="1"/>
  <c r="I31" i="24"/>
  <c r="I54" i="24"/>
  <c r="I61" i="24"/>
  <c r="I11" i="24"/>
  <c r="I27" i="24"/>
  <c r="I40" i="24"/>
  <c r="E54" i="2"/>
  <c r="E53" i="28" s="1"/>
  <c r="G53" i="28" s="1"/>
  <c r="E47" i="2"/>
  <c r="E46" i="28" s="1"/>
  <c r="G46" i="28" s="1"/>
  <c r="E43" i="2"/>
  <c r="E42" i="28" s="1"/>
  <c r="G42" i="28" s="1"/>
  <c r="E5" i="5"/>
  <c r="E45" i="2"/>
  <c r="E44" i="28" s="1"/>
  <c r="G44" i="28" s="1"/>
  <c r="E23" i="5"/>
  <c r="I24" i="5" s="1"/>
  <c r="K24" i="5" s="1"/>
  <c r="E52" i="24" s="1"/>
  <c r="I52" i="24" s="1"/>
  <c r="G47" i="28" l="1"/>
  <c r="I38" i="32"/>
  <c r="I38" i="33"/>
  <c r="I39" i="32"/>
  <c r="I39" i="33"/>
  <c r="I41" i="32"/>
  <c r="I41" i="33"/>
  <c r="E52" i="2"/>
  <c r="E51" i="28" s="1"/>
  <c r="G51" i="28" s="1"/>
  <c r="I6" i="5"/>
  <c r="K6" i="5" s="1"/>
  <c r="E7" i="5"/>
  <c r="I8" i="5" l="1"/>
  <c r="K8" i="5" s="1"/>
  <c r="I9" i="5"/>
  <c r="K9" i="5" s="1"/>
  <c r="I11" i="5"/>
  <c r="K11" i="5" s="1"/>
  <c r="I12" i="5"/>
  <c r="K12" i="5" s="1"/>
  <c r="I10" i="5"/>
  <c r="K10" i="5" s="1"/>
  <c r="K127" i="5" l="1"/>
  <c r="E50" i="24" s="1"/>
  <c r="I50" i="24" s="1"/>
  <c r="K128" i="5"/>
  <c r="E51" i="24" s="1"/>
  <c r="I51" i="24" s="1"/>
  <c r="K136" i="5"/>
  <c r="I56" i="24" l="1"/>
  <c r="K134" i="5"/>
  <c r="E51" i="2"/>
  <c r="E50" i="28" s="1"/>
  <c r="G50" i="28" s="1"/>
  <c r="E50" i="2"/>
  <c r="E49" i="28" s="1"/>
  <c r="G49" i="28" s="1"/>
  <c r="G55" i="28" l="1"/>
  <c r="I42" i="2"/>
  <c r="H42" i="24"/>
  <c r="I42" i="24" s="1"/>
  <c r="I43" i="2" l="1"/>
  <c r="H44" i="24"/>
  <c r="I44" i="24" s="1"/>
  <c r="I44" i="2"/>
  <c r="I45" i="2"/>
  <c r="I46" i="2"/>
  <c r="I47" i="2"/>
  <c r="H45" i="24" l="1"/>
  <c r="I45" i="24" s="1"/>
  <c r="H47" i="24"/>
  <c r="I47" i="24" s="1"/>
  <c r="H43" i="24"/>
  <c r="I43" i="24" s="1"/>
  <c r="H46" i="24"/>
  <c r="I46" i="24" s="1"/>
  <c r="I48" i="2"/>
  <c r="I48" i="24" l="1"/>
  <c r="I63" i="24" s="1"/>
  <c r="I45" i="31" l="1"/>
  <c r="I46" i="31" s="1"/>
  <c r="G24" i="2" l="1"/>
  <c r="G26" i="2"/>
  <c r="H26" i="2" s="1"/>
  <c r="I26" i="2" s="1"/>
  <c r="G25" i="2"/>
  <c r="H25" i="2" s="1"/>
  <c r="I25" i="2" s="1"/>
  <c r="G51" i="2"/>
  <c r="H51" i="2" s="1"/>
  <c r="I51" i="2" s="1"/>
  <c r="G36" i="2"/>
  <c r="H36" i="2" s="1"/>
  <c r="I36" i="2" s="1"/>
  <c r="G16" i="2"/>
  <c r="H16" i="2" s="1"/>
  <c r="I16" i="2" s="1"/>
  <c r="G6" i="2"/>
  <c r="H6" i="2" s="1"/>
  <c r="I6" i="2" s="1"/>
  <c r="H24" i="2"/>
  <c r="I24" i="2" s="1"/>
  <c r="G20" i="2"/>
  <c r="H20" i="2" s="1"/>
  <c r="I20" i="2" s="1"/>
  <c r="G50" i="2"/>
  <c r="H50" i="2" s="1"/>
  <c r="I50" i="2" s="1"/>
  <c r="G19" i="2"/>
  <c r="H19" i="2" s="1"/>
  <c r="I19" i="2" s="1"/>
  <c r="G9" i="2"/>
  <c r="H9" i="2" s="1"/>
  <c r="I9" i="2" s="1"/>
  <c r="G37" i="2"/>
  <c r="H37" i="2" s="1"/>
  <c r="I37" i="2" s="1"/>
  <c r="G10" i="2"/>
  <c r="H10" i="2" s="1"/>
  <c r="I10" i="2" s="1"/>
  <c r="G52" i="2"/>
  <c r="H52" i="2" s="1"/>
  <c r="I52" i="2" s="1"/>
  <c r="G35" i="2"/>
  <c r="H35" i="2" s="1"/>
  <c r="I35" i="2" s="1"/>
  <c r="G15" i="2"/>
  <c r="H15" i="2" s="1"/>
  <c r="I15" i="2" s="1"/>
  <c r="G53" i="2"/>
  <c r="H53" i="2" s="1"/>
  <c r="I53" i="2" s="1"/>
  <c r="G34" i="2"/>
  <c r="H34" i="2" s="1"/>
  <c r="I34" i="2" s="1"/>
  <c r="G14" i="2"/>
  <c r="H14" i="2" s="1"/>
  <c r="I14" i="2" s="1"/>
  <c r="G7" i="2"/>
  <c r="H7" i="2" s="1"/>
  <c r="I7" i="2" s="1"/>
  <c r="G38" i="2"/>
  <c r="H38" i="2" s="1"/>
  <c r="I38" i="2" s="1"/>
  <c r="G8" i="2"/>
  <c r="H8" i="2" s="1"/>
  <c r="I8" i="2" s="1"/>
  <c r="G18" i="2"/>
  <c r="H18" i="2" s="1"/>
  <c r="I18" i="2" s="1"/>
  <c r="G29" i="2"/>
  <c r="H29" i="2" s="1"/>
  <c r="I29" i="2" s="1"/>
  <c r="G54" i="2"/>
  <c r="H54" i="2" s="1"/>
  <c r="I54" i="2" s="1"/>
  <c r="G33" i="2"/>
  <c r="H33" i="2" s="1"/>
  <c r="I33" i="2" s="1"/>
  <c r="G21" i="2"/>
  <c r="H21" i="2" s="1"/>
  <c r="I21" i="2" s="1"/>
  <c r="G13" i="2"/>
  <c r="H13" i="2" s="1"/>
  <c r="I13" i="2" s="1"/>
  <c r="G55" i="2"/>
  <c r="H55" i="2" s="1"/>
  <c r="I55" i="2" s="1"/>
  <c r="G39" i="2"/>
  <c r="H39" i="2" s="1"/>
  <c r="I39" i="2" s="1"/>
  <c r="G30" i="2"/>
  <c r="H30" i="2" s="1"/>
  <c r="I30" i="2" s="1"/>
  <c r="G60" i="2"/>
  <c r="H60" i="2" s="1"/>
  <c r="I60" i="2" s="1"/>
  <c r="G59" i="2"/>
  <c r="H59" i="2" s="1"/>
  <c r="I59" i="2" s="1"/>
  <c r="G58" i="2"/>
  <c r="H58" i="2" s="1"/>
  <c r="I58" i="2" s="1"/>
  <c r="G17" i="2"/>
  <c r="H17" i="2" s="1"/>
  <c r="I17" i="2" s="1"/>
  <c r="I27" i="2" l="1"/>
  <c r="I56" i="2"/>
  <c r="I22" i="2"/>
  <c r="I11" i="2"/>
  <c r="I40" i="2"/>
  <c r="I61" i="2"/>
  <c r="I31" i="2"/>
  <c r="I63" i="2" l="1"/>
  <c r="K56" i="2" l="1"/>
  <c r="K27" i="2"/>
  <c r="K48" i="2"/>
  <c r="K43" i="2"/>
  <c r="K45" i="2"/>
  <c r="K46" i="2"/>
  <c r="K42" i="2"/>
  <c r="K47" i="2"/>
  <c r="K44" i="2"/>
  <c r="K30" i="2"/>
  <c r="K13" i="2"/>
  <c r="K16" i="2"/>
  <c r="K29" i="2"/>
  <c r="K53" i="2"/>
  <c r="K36" i="2"/>
  <c r="K24" i="2"/>
  <c r="K18" i="2"/>
  <c r="K20" i="2"/>
  <c r="K7" i="2"/>
  <c r="K59" i="2"/>
  <c r="K54" i="2"/>
  <c r="K15" i="2"/>
  <c r="K19" i="2"/>
  <c r="K33" i="2"/>
  <c r="K9" i="2"/>
  <c r="K60" i="2"/>
  <c r="K25" i="2"/>
  <c r="K17" i="2"/>
  <c r="K10" i="2"/>
  <c r="K21" i="2"/>
  <c r="K26" i="2"/>
  <c r="K55" i="2"/>
  <c r="K51" i="2"/>
  <c r="K8" i="2"/>
  <c r="K50" i="2"/>
  <c r="K38" i="2"/>
  <c r="K6" i="2"/>
  <c r="K34" i="2"/>
  <c r="K52" i="2"/>
  <c r="K39" i="2"/>
  <c r="K14" i="2"/>
  <c r="K35" i="2"/>
  <c r="K58" i="2"/>
  <c r="K37" i="2"/>
  <c r="K40" i="2"/>
  <c r="K31" i="2"/>
  <c r="K22" i="2"/>
  <c r="K61" i="2"/>
  <c r="K11" i="2"/>
</calcChain>
</file>

<file path=xl/comments1.xml><?xml version="1.0" encoding="utf-8"?>
<comments xmlns="http://schemas.openxmlformats.org/spreadsheetml/2006/main">
  <authors>
    <author>Mauricio Osmari Cordeiro</author>
  </authors>
  <commentList>
    <comment ref="I44" authorId="0" shapeId="0">
      <text>
        <r>
          <rPr>
            <sz val="9"/>
            <color indexed="81"/>
            <rFont val="Segoe UI"/>
            <family val="2"/>
          </rPr>
          <t>Para ISSQN de 3,0% é 3,96%</t>
        </r>
      </text>
    </comment>
    <comment ref="H46" authorId="0" shapeId="0">
      <text>
        <r>
          <rPr>
            <sz val="9"/>
            <color indexed="81"/>
            <rFont val="Segoe UI"/>
            <family val="2"/>
          </rPr>
          <t>Para ISSQN de 3,0% é 24,11%</t>
        </r>
      </text>
    </comment>
    <comment ref="I46" authorId="0" shapeId="0">
      <text>
        <r>
          <rPr>
            <sz val="9"/>
            <color indexed="81"/>
            <rFont val="Segoe UI"/>
            <family val="2"/>
          </rPr>
          <t>Para ISSQN de 3,0% é 31,98%</t>
        </r>
      </text>
    </comment>
    <comment ref="I64" authorId="0" shapeId="0">
      <text>
        <r>
          <rPr>
            <sz val="9"/>
            <color indexed="81"/>
            <rFont val="Segoe UI"/>
            <family val="2"/>
          </rPr>
          <t>Para ISSQN de 3,0% é 3,96%</t>
        </r>
      </text>
    </comment>
    <comment ref="H67" authorId="0" shapeId="0">
      <text>
        <r>
          <rPr>
            <sz val="9"/>
            <color indexed="81"/>
            <rFont val="Segoe UI"/>
            <family val="2"/>
          </rPr>
          <t>Para ISSQN de 3,0% é 24,11%</t>
        </r>
      </text>
    </comment>
    <comment ref="I67" authorId="0" shapeId="0">
      <text>
        <r>
          <rPr>
            <sz val="9"/>
            <color indexed="81"/>
            <rFont val="Segoe UI"/>
            <family val="2"/>
          </rPr>
          <t>Para ISSQN de 3,0% é 31,77%</t>
        </r>
      </text>
    </comment>
  </commentList>
</comments>
</file>

<file path=xl/comments2.xml><?xml version="1.0" encoding="utf-8"?>
<comments xmlns="http://schemas.openxmlformats.org/spreadsheetml/2006/main">
  <authors>
    <author>Mauricio Osmari Cordeiro</author>
  </authors>
  <commentList>
    <comment ref="F6" authorId="0" shapeId="0">
      <text>
        <r>
          <rPr>
            <b/>
            <sz val="9"/>
            <color indexed="81"/>
            <rFont val="Segoe UI"/>
            <family val="2"/>
          </rPr>
          <t>ICMS 2020 = 18,0%
ICMS 2021 = 17,5%
ICMS 2022 = 17,0%</t>
        </r>
      </text>
    </comment>
  </commentList>
</comments>
</file>

<file path=xl/comments3.xml><?xml version="1.0" encoding="utf-8"?>
<comments xmlns="http://schemas.openxmlformats.org/spreadsheetml/2006/main">
  <authors>
    <author>Mauricio Osmari Cordeiro</author>
  </authors>
  <commentList>
    <comment ref="F6" authorId="0" shapeId="0">
      <text>
        <r>
          <rPr>
            <b/>
            <sz val="9"/>
            <color indexed="81"/>
            <rFont val="Segoe UI"/>
            <family val="2"/>
          </rPr>
          <t>ICMS 2020 = 18,0%
ICMS 2021 = 17,5%
ICMS 2022 = 17,0%</t>
        </r>
      </text>
    </comment>
  </commentList>
</comments>
</file>

<file path=xl/comments4.xml><?xml version="1.0" encoding="utf-8"?>
<comments xmlns="http://schemas.openxmlformats.org/spreadsheetml/2006/main">
  <authors>
    <author>Mauricio Osmari Cordeiro</author>
  </authors>
  <commentList>
    <comment ref="F20" authorId="0" shapeId="0">
      <text>
        <r>
          <rPr>
            <b/>
            <sz val="9"/>
            <color indexed="81"/>
            <rFont val="Segoe UI"/>
            <family val="2"/>
          </rPr>
          <t>Volume 07 (Canteiros), item 9.9, pag. 108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4" authorId="0" shapeId="0">
      <text>
        <r>
          <rPr>
            <b/>
            <sz val="9"/>
            <color indexed="81"/>
            <rFont val="Segoe UI"/>
            <family val="2"/>
          </rPr>
          <t>Volume 07 (Canteiros), subitem 9.7, pág. 95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0" authorId="0" shapeId="0">
      <text>
        <r>
          <rPr>
            <b/>
            <sz val="9"/>
            <color indexed="81"/>
            <rFont val="Segoe UI"/>
            <family val="2"/>
          </rPr>
          <t>Volume 07 (Canteiros), subitem 9.7, pág. 95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<sst xmlns="http://schemas.openxmlformats.org/spreadsheetml/2006/main" count="1638" uniqueCount="645">
  <si>
    <t>Quantidade</t>
  </si>
  <si>
    <t>un</t>
  </si>
  <si>
    <t>m³</t>
  </si>
  <si>
    <t>m²</t>
  </si>
  <si>
    <t>m</t>
  </si>
  <si>
    <t>PAVIMENTAÇÃO</t>
  </si>
  <si>
    <t>DRENAGEM</t>
  </si>
  <si>
    <t>OBRAS COMPLEMENTARES</t>
  </si>
  <si>
    <t>Enleivamento</t>
  </si>
  <si>
    <t>SINALIZAÇÃO</t>
  </si>
  <si>
    <t>Serviço</t>
  </si>
  <si>
    <t>Código
SICRO</t>
  </si>
  <si>
    <t>Unidade</t>
  </si>
  <si>
    <t>Preço
Referência</t>
  </si>
  <si>
    <t>BDI</t>
  </si>
  <si>
    <t>Preço
Unitário</t>
  </si>
  <si>
    <t>Custo
Unitário</t>
  </si>
  <si>
    <t>Limpeza mecanizada da camada vegetal</t>
  </si>
  <si>
    <t>Compactação de aterros a 100% do Proctor intermediário</t>
  </si>
  <si>
    <t>Espalhamento de material em bota-fora</t>
  </si>
  <si>
    <t>TERRAPLANAGEM</t>
  </si>
  <si>
    <t>TRANSPORTES</t>
  </si>
  <si>
    <t>LIGANTES ASFÁLTICOS</t>
  </si>
  <si>
    <t>t</t>
  </si>
  <si>
    <t>Base ou sub-base de macadame seco com brita comercial</t>
  </si>
  <si>
    <t>Base ou sub-base de brita graduada com brita comercial</t>
  </si>
  <si>
    <t>Pintura de ligação</t>
  </si>
  <si>
    <t>Regularização do subleito</t>
  </si>
  <si>
    <t>Escavação mecânica de vala em material de 1ª categoria</t>
  </si>
  <si>
    <t>Remoção mecanizada de camada granular do pavimento</t>
  </si>
  <si>
    <t xml:space="preserve">Total: </t>
  </si>
  <si>
    <t>Tacha refletiva em plástico injetado - bidirecional tipo I - fornecimento e colocação</t>
  </si>
  <si>
    <t>-</t>
  </si>
  <si>
    <t>Aquisição de RR-1C para Pintura de Ligação</t>
  </si>
  <si>
    <t xml:space="preserve">ESTUDO ECONÔMICO REFERENTE AQUISIÇÃO DE MATERIAIS BETUMINOSOS </t>
  </si>
  <si>
    <t>Aquisição</t>
  </si>
  <si>
    <t>Transporte</t>
  </si>
  <si>
    <t>Fornecedor</t>
  </si>
  <si>
    <t>Preço ANP
(R$/ton)</t>
  </si>
  <si>
    <t>ICMS
(%)</t>
  </si>
  <si>
    <t>D. M. T.
(km)</t>
  </si>
  <si>
    <t>REFAP - Canoas/RS</t>
  </si>
  <si>
    <t>REPAR - Araucária/PR</t>
  </si>
  <si>
    <t>REPLAN - Paulínia/SP</t>
  </si>
  <si>
    <t>Greca - Esteio/RS</t>
  </si>
  <si>
    <t>Betunel - Montenegro/RS</t>
  </si>
  <si>
    <t>RR-1C</t>
  </si>
  <si>
    <t>Material</t>
  </si>
  <si>
    <t>Correção no Índice de Pavimentação:</t>
  </si>
  <si>
    <t>Rodovia Pavimentada:</t>
  </si>
  <si>
    <t>Data Base Sicro:</t>
  </si>
  <si>
    <t>Rodovia c/ Revest. Primário:</t>
  </si>
  <si>
    <t>Ref. da Portaria 1.078:</t>
  </si>
  <si>
    <t>Rodovia em Leito Natural:</t>
  </si>
  <si>
    <t>Fator de Correção:</t>
  </si>
  <si>
    <t>https://www.gov.br/anp/pt-br/assuntos/precos-e-defesa-da-concorrencia/precos/precos-de-distribuicao-de-produtos-asfalticos</t>
  </si>
  <si>
    <t>Transporte de RR-1C para Pintura de Ligação</t>
  </si>
  <si>
    <t>Média Ponderada das Alíquotas Municipais:</t>
  </si>
  <si>
    <t>Descrição das Parcelas</t>
  </si>
  <si>
    <t>Despesas Indiretas</t>
  </si>
  <si>
    <t>Administração Central</t>
  </si>
  <si>
    <t>Variável - f (CD)</t>
  </si>
  <si>
    <t>Despesas Financeiras</t>
  </si>
  <si>
    <t>Seguros e Garantias Contratuais</t>
  </si>
  <si>
    <t>0,25% do PV</t>
  </si>
  <si>
    <t>Riscos</t>
  </si>
  <si>
    <t>0,50% do PV</t>
  </si>
  <si>
    <t>Benefícios</t>
  </si>
  <si>
    <t>Lucro</t>
  </si>
  <si>
    <t>Tributos</t>
  </si>
  <si>
    <t>PIS</t>
  </si>
  <si>
    <t>COFINS</t>
  </si>
  <si>
    <t>ISSQN</t>
  </si>
  <si>
    <t>PLANILHA DE CÁLCULO DOS TRANSPORTES</t>
  </si>
  <si>
    <t>Código</t>
  </si>
  <si>
    <t>Discriminação dos Serviços</t>
  </si>
  <si>
    <t>Código do
Transporte</t>
  </si>
  <si>
    <t>Unid.</t>
  </si>
  <si>
    <t xml:space="preserve"> DMT
(km)</t>
  </si>
  <si>
    <t xml:space="preserve">Total (t.km): </t>
  </si>
  <si>
    <t>M1135</t>
  </si>
  <si>
    <t>M1103</t>
  </si>
  <si>
    <t>M0191</t>
  </si>
  <si>
    <t>M0082</t>
  </si>
  <si>
    <t>M0192</t>
  </si>
  <si>
    <t>M0424</t>
  </si>
  <si>
    <t>M0005</t>
  </si>
  <si>
    <t>M1097</t>
  </si>
  <si>
    <t>M1205</t>
  </si>
  <si>
    <t>M0290</t>
  </si>
  <si>
    <t>M1429</t>
  </si>
  <si>
    <t>M2158</t>
  </si>
  <si>
    <t>M0028</t>
  </si>
  <si>
    <t>M2036</t>
  </si>
  <si>
    <t>M1367</t>
  </si>
  <si>
    <t>M2037</t>
  </si>
  <si>
    <t>M2038</t>
  </si>
  <si>
    <t>M2044</t>
  </si>
  <si>
    <t>Resumo Geral dos Transportes</t>
  </si>
  <si>
    <t>Usinagem de concreto asfáltico - faixa C - areia e brita comerciais</t>
  </si>
  <si>
    <t>M0344</t>
  </si>
  <si>
    <t>Cal hidratada - a granel</t>
  </si>
  <si>
    <t>Areia média</t>
  </si>
  <si>
    <t>Brita 0</t>
  </si>
  <si>
    <t>Brita 1</t>
  </si>
  <si>
    <t>Pedrisco</t>
  </si>
  <si>
    <t>Usinagem de brita graduada com brita comercial em usina de 300 t/h</t>
  </si>
  <si>
    <t>Brita 2</t>
  </si>
  <si>
    <t>Pó de pedra</t>
  </si>
  <si>
    <t>M0808</t>
  </si>
  <si>
    <t>M3508</t>
  </si>
  <si>
    <t>M2167</t>
  </si>
  <si>
    <t>M0030</t>
  </si>
  <si>
    <t>Areia média lavada</t>
  </si>
  <si>
    <t>Concreto ciclópico fck = 20 MPa - confecção em betoneira e lançamento manual - areia, brita e pedra de mão comerciais</t>
  </si>
  <si>
    <t>Concreto fck = 20 MPa - confecção em betoneira e lançamento manual - areia e brita comerciais</t>
  </si>
  <si>
    <t>Prego de ferro</t>
  </si>
  <si>
    <t>Tábua de pinho de terceira - E = 2,5 cm</t>
  </si>
  <si>
    <t>kg</t>
  </si>
  <si>
    <t>M0220</t>
  </si>
  <si>
    <t>M1755</t>
  </si>
  <si>
    <t>M3237</t>
  </si>
  <si>
    <t>M2041</t>
  </si>
  <si>
    <t>M3825</t>
  </si>
  <si>
    <t>Enchimento de junta de concreto com argamassa asfáltica de densidade 1.700 kg/m³ - espessura de 1 cm</t>
  </si>
  <si>
    <t>Argamassa asfáltica</t>
  </si>
  <si>
    <t>Concreto fck = 20 MPa - confecção em central dosadora de 30 m³/h - areia e brita comerciais</t>
  </si>
  <si>
    <t>Obtenção de grama para replantio</t>
  </si>
  <si>
    <t>Transporte com caminhão basculante de 10 m³ - rodovia pavimentada</t>
  </si>
  <si>
    <t>Transporte de cimento a granel com caminhão silo 30 m³ - rodovia pavimentada</t>
  </si>
  <si>
    <t>Transporte com caminhão basculante de 6 m³ - rodovia pavimentada</t>
  </si>
  <si>
    <t>Transporte com caminhão carroceria de 15 t - rodovia pavimentada</t>
  </si>
  <si>
    <t>Transporte com caminhão carroceria de 5 t - rodovia pavimentada</t>
  </si>
  <si>
    <t>tkm</t>
  </si>
  <si>
    <t>Administração Local</t>
  </si>
  <si>
    <t>und</t>
  </si>
  <si>
    <t>Mobilização e Desmobilização</t>
  </si>
  <si>
    <t>Instalação de Canteiro de Obra</t>
  </si>
  <si>
    <t>MOBILIZAÇÃO DE PESSOAL E EQUIPAMENTOS</t>
  </si>
  <si>
    <t>Discriminação</t>
  </si>
  <si>
    <t>Quant.</t>
  </si>
  <si>
    <t>Veículo Transportador</t>
  </si>
  <si>
    <t>DM
(km)</t>
  </si>
  <si>
    <t>K</t>
  </si>
  <si>
    <t>FU</t>
  </si>
  <si>
    <t>V
(km/h)</t>
  </si>
  <si>
    <t>CH</t>
  </si>
  <si>
    <t xml:space="preserve">CMob </t>
  </si>
  <si>
    <t xml:space="preserve">1.1. </t>
  </si>
  <si>
    <t>P9819</t>
  </si>
  <si>
    <t>E9512</t>
  </si>
  <si>
    <t>P9893</t>
  </si>
  <si>
    <t>P9858</t>
  </si>
  <si>
    <t>P9866</t>
  </si>
  <si>
    <t>P9845</t>
  </si>
  <si>
    <t xml:space="preserve">1.2. </t>
  </si>
  <si>
    <t>E9592</t>
  </si>
  <si>
    <t xml:space="preserve">1.3. </t>
  </si>
  <si>
    <t>E9125</t>
  </si>
  <si>
    <t xml:space="preserve">1.4. </t>
  </si>
  <si>
    <t>E9509</t>
  </si>
  <si>
    <t>E9515</t>
  </si>
  <si>
    <t>E9665</t>
  </si>
  <si>
    <t>E9530</t>
  </si>
  <si>
    <t>E9545</t>
  </si>
  <si>
    <t>E9558</t>
  </si>
  <si>
    <t>E9577</t>
  </si>
  <si>
    <t>E9644</t>
  </si>
  <si>
    <t>E9687</t>
  </si>
  <si>
    <t>E9762</t>
  </si>
  <si>
    <t xml:space="preserve">Total para a Mobilização, sem B.D.I. - R$: </t>
  </si>
  <si>
    <t>Obs.:  Os Equipamentos de Pequeno Porte, do Item 1.2., serão transportados pelos Caminhões de Grande porte do item 1.4. que irão se deslocar até o local da obra.</t>
  </si>
  <si>
    <t>E9667</t>
  </si>
  <si>
    <t>E9540</t>
  </si>
  <si>
    <t>E9571</t>
  </si>
  <si>
    <t>E9518</t>
  </si>
  <si>
    <t>E9524</t>
  </si>
  <si>
    <t>E9685</t>
  </si>
  <si>
    <t>E9103</t>
  </si>
  <si>
    <t>E9521</t>
  </si>
  <si>
    <t>E9675</t>
  </si>
  <si>
    <t>Caminhão basculante com capacidade de 14 m³ - 188 kW</t>
  </si>
  <si>
    <t>Escavadeira hidráulica sobre esteira com caçamba com capacidade de 1,5 m³ - 110 kW</t>
  </si>
  <si>
    <t>Trator de esteiras com lâmina - 112 kW</t>
  </si>
  <si>
    <t>Caminhão tanque com capacidade de 10.000 l - 188 kW</t>
  </si>
  <si>
    <t>Grade de 24 discos rebocável de 24"</t>
  </si>
  <si>
    <t>Motoniveladora - 93 kW</t>
  </si>
  <si>
    <t>Rolo compactador pé de carneiro vibratório autopropelido de 11,6 t - 82 kW</t>
  </si>
  <si>
    <t>Trator agrícola - 77 kW</t>
  </si>
  <si>
    <t>Rolo compactador de pneus autopropelido de 27 t - 85 kW</t>
  </si>
  <si>
    <t>Vibroacabadora de asfalto sobre esteiras - 82 kW</t>
  </si>
  <si>
    <t>Rolo compactador liso autopropelido vibratório de 11 t - 97 kW</t>
  </si>
  <si>
    <t>Caminhão tanque distribuidor de asfalto com capacidade de 6.000 l - 7 kW/136 kW</t>
  </si>
  <si>
    <t>Tanque de estocagem de asfalto com capacidade de 30.000 l</t>
  </si>
  <si>
    <t>Extrusora para meio-fio de concreto - 10,44 kW</t>
  </si>
  <si>
    <t>Caminhão carroceria com capacidade de 5 t - 115 kW</t>
  </si>
  <si>
    <t>Caminhão demarcador de faixas com sistema de pintura a frio - 28 kW/115 kW</t>
  </si>
  <si>
    <t>Grupo gerador - 2,5/3 kVA</t>
  </si>
  <si>
    <t>Martelete perfurador/rompedor elétrico - 1,5 kW</t>
  </si>
  <si>
    <t>Concreto asfáltico com asfalto polímero - faixa C - areia e brita comerciais</t>
  </si>
  <si>
    <t>Aquisição de CM-30 para Imprimação</t>
  </si>
  <si>
    <t>Transporte de CM-30 para Imprimação</t>
  </si>
  <si>
    <t>Referência</t>
  </si>
  <si>
    <t>Tipo</t>
  </si>
  <si>
    <t>φ</t>
  </si>
  <si>
    <t>Dimensões (m)</t>
  </si>
  <si>
    <t>Largura</t>
  </si>
  <si>
    <t>Altura</t>
  </si>
  <si>
    <t>Comprimento
(m)</t>
  </si>
  <si>
    <t>Área
(m²)</t>
  </si>
  <si>
    <t>B-01</t>
  </si>
  <si>
    <t>BSTC</t>
  </si>
  <si>
    <t>B-02</t>
  </si>
  <si>
    <t>B-03</t>
  </si>
  <si>
    <t>B-04</t>
  </si>
  <si>
    <t>Item</t>
  </si>
  <si>
    <t>Serviços Iniciais</t>
  </si>
  <si>
    <t>Terraplenagem</t>
  </si>
  <si>
    <t>Drenagem</t>
  </si>
  <si>
    <t>Pavimentação</t>
  </si>
  <si>
    <t>Comprimento</t>
  </si>
  <si>
    <t>Fator</t>
  </si>
  <si>
    <t xml:space="preserve">Contínua Amarela </t>
  </si>
  <si>
    <t>Eixo BR-285</t>
  </si>
  <si>
    <t>Contínua Branca</t>
  </si>
  <si>
    <t>Pista LD</t>
  </si>
  <si>
    <t>Linha de Retenção</t>
  </si>
  <si>
    <t>Parada Obrigatória</t>
  </si>
  <si>
    <t>Setas Indicativas</t>
  </si>
  <si>
    <t>LE</t>
  </si>
  <si>
    <t>LD</t>
  </si>
  <si>
    <t>Desmobilização</t>
  </si>
  <si>
    <t>Rodovia:</t>
  </si>
  <si>
    <t>Localização</t>
  </si>
  <si>
    <t>Localização:</t>
  </si>
  <si>
    <t>Tipo de Obra:</t>
  </si>
  <si>
    <t>BR-285/RS</t>
  </si>
  <si>
    <t>Lado:</t>
  </si>
  <si>
    <t>1º</t>
  </si>
  <si>
    <t>2º</t>
  </si>
  <si>
    <t>3º</t>
  </si>
  <si>
    <t>4º</t>
  </si>
  <si>
    <t>5º</t>
  </si>
  <si>
    <t>6º</t>
  </si>
  <si>
    <t>Mês de Execução dos Serviços</t>
  </si>
  <si>
    <t>Acesso Rodoviário</t>
  </si>
  <si>
    <t>Sinalização Horizontal e Vertical</t>
  </si>
  <si>
    <t>Total</t>
  </si>
  <si>
    <t>Tipo de Pintura</t>
  </si>
  <si>
    <t>Descrição do Local</t>
  </si>
  <si>
    <t>Inicial</t>
  </si>
  <si>
    <t>Final</t>
  </si>
  <si>
    <t xml:space="preserve">Total (m²): </t>
  </si>
  <si>
    <t>Placa</t>
  </si>
  <si>
    <t>Dimensões</t>
  </si>
  <si>
    <t>Quantidade
Placas</t>
  </si>
  <si>
    <t>Quantidade Suportes</t>
  </si>
  <si>
    <t>Código
de Cores</t>
  </si>
  <si>
    <t>Tipos de
Películas</t>
  </si>
  <si>
    <t>Estaca</t>
  </si>
  <si>
    <t>Lado</t>
  </si>
  <si>
    <t>Madeira</t>
  </si>
  <si>
    <t>Metálico</t>
  </si>
  <si>
    <t>1.0 - Regulamentação</t>
  </si>
  <si>
    <t>L = 0,40m</t>
  </si>
  <si>
    <t xml:space="preserve">R-01 </t>
  </si>
  <si>
    <t>Fundo: Vermelho - Tipo III
Símbolo: Branco - Tipo III</t>
  </si>
  <si>
    <t>Ø = 1,0m</t>
  </si>
  <si>
    <t>Fundo: Branco - Tipo III
Tarja: Vermelha - Tipo III
Letra/Símbolo: Preto - Tipo IV-A</t>
  </si>
  <si>
    <t>3.0 - Advertência</t>
  </si>
  <si>
    <t>L = 1,00m</t>
  </si>
  <si>
    <t>Fundo: Amarelo - Tipo III
Símbolo: Preto - Tipo IV-A</t>
  </si>
  <si>
    <t>4.0 - Marcador de Obstáculos</t>
  </si>
  <si>
    <t>0,30 x 0,90m</t>
  </si>
  <si>
    <t>MO - 03</t>
  </si>
  <si>
    <t>Fundo: Preto - Tipo IV-A
Tarja: Amarelo - Tipo III</t>
  </si>
  <si>
    <t>Totais:</t>
  </si>
  <si>
    <t>2.0 - Indicativas</t>
  </si>
  <si>
    <t>1,5 x 2,5m</t>
  </si>
  <si>
    <t>Fundo: Verde - Tipo III
Letras/Símbolos: Branca - Tipo III</t>
  </si>
  <si>
    <t>A - 12</t>
  </si>
  <si>
    <t>Sub-totais:</t>
  </si>
  <si>
    <t>Quadro de Quanditades da Sinalização Horizontal</t>
  </si>
  <si>
    <t>Quadro de Quanditades da Sinalização Vertical</t>
  </si>
  <si>
    <t>Quadro de Quanditades de Tachas e Tachões</t>
  </si>
  <si>
    <t>Quantidade
(und.)</t>
  </si>
  <si>
    <t>Extensão
(m)</t>
  </si>
  <si>
    <t>Tipo de Tacha</t>
  </si>
  <si>
    <t>Cor da Tacha</t>
  </si>
  <si>
    <t xml:space="preserve">Refletiva em plástico injetado - Bidirecional Tipo I </t>
  </si>
  <si>
    <t>Branca</t>
  </si>
  <si>
    <t xml:space="preserve">Refletiva em plástico injetado - Monodirecional Tipo I </t>
  </si>
  <si>
    <t>Amarela</t>
  </si>
  <si>
    <t>Descrição</t>
  </si>
  <si>
    <t>Eixo Pista</t>
  </si>
  <si>
    <t xml:space="preserve">Total (und): </t>
  </si>
  <si>
    <t>Orçamento de Referência para a Obra</t>
  </si>
  <si>
    <t>Data-Base:</t>
  </si>
  <si>
    <t>Imprimação com asfalto diluído</t>
  </si>
  <si>
    <t>CAP-60/85</t>
  </si>
  <si>
    <t>Aquisição de CAP 60/85 para Concreto Asfáltico</t>
  </si>
  <si>
    <t>Transporte de CAP 60/85 para Concreto Asfáltico</t>
  </si>
  <si>
    <t>R-03</t>
  </si>
  <si>
    <t>Quadro de Quantidades de Elementos de Drenagem</t>
  </si>
  <si>
    <t>*Obs.: Os bueiros e Bocas devem ser executados de acordo com o Álbum de Projetos-Tipo de Dispositivos de Drenagem (Publicação IPR - 725)</t>
  </si>
  <si>
    <t>Boca Normal</t>
  </si>
  <si>
    <t>0°</t>
  </si>
  <si>
    <t>Esconsidade
(°)</t>
  </si>
  <si>
    <t>Seção Transversal da Vala</t>
  </si>
  <si>
    <t>Largura (m)</t>
  </si>
  <si>
    <t>Área (m²)</t>
  </si>
  <si>
    <t>Altura (m)</t>
  </si>
  <si>
    <t>Volume
(m³)</t>
  </si>
  <si>
    <t>Quadro de Quanditades de Valas</t>
  </si>
  <si>
    <t xml:space="preserve">Total (m³): </t>
  </si>
  <si>
    <t>Declividade
(%)</t>
  </si>
  <si>
    <t>Mobilização</t>
  </si>
  <si>
    <t>Engenheiro supervisor</t>
  </si>
  <si>
    <t>Encarregado de pavimentação</t>
  </si>
  <si>
    <t>Laboratorista</t>
  </si>
  <si>
    <t>h</t>
  </si>
  <si>
    <t>Obras Complementares</t>
  </si>
  <si>
    <t>Condição sem Desoneração</t>
  </si>
  <si>
    <t>Condição com Desoneração</t>
  </si>
  <si>
    <t>Quantidade
de Trabalho</t>
  </si>
  <si>
    <t>COMPOSIÇÕES DAS PARCELAS DA ADMINISTRAÇÃO LOCAL</t>
  </si>
  <si>
    <t>Descrição dos Itens</t>
  </si>
  <si>
    <t>Utilização
(qtd. da und.)</t>
  </si>
  <si>
    <t>Custo Unitário
(R$)</t>
  </si>
  <si>
    <t>Custo
Total
(R$)</t>
  </si>
  <si>
    <t>Produtiva</t>
  </si>
  <si>
    <t>Improdutiva</t>
  </si>
  <si>
    <t xml:space="preserve">A - </t>
  </si>
  <si>
    <t>1.</t>
  </si>
  <si>
    <t>Gerencia Técnica</t>
  </si>
  <si>
    <t>1.1.</t>
  </si>
  <si>
    <t>E9093</t>
  </si>
  <si>
    <t xml:space="preserve">B - </t>
  </si>
  <si>
    <t>Equipe de Produção de Pavimentação</t>
  </si>
  <si>
    <t>Coeficiente de Proporcionalidade Adimensional (em relação a um segmento de 200 kmf):</t>
  </si>
  <si>
    <t xml:space="preserve">C - </t>
  </si>
  <si>
    <t>Equipe de Controle Tecnológico</t>
  </si>
  <si>
    <t>P9833</t>
  </si>
  <si>
    <t xml:space="preserve">Valor Total Mensal da Administração Local: </t>
  </si>
  <si>
    <t>INSTALAÇÃO PROVISÓRIA PARA CANTEIRO E ACAMPAMENTO</t>
  </si>
  <si>
    <t>Descrição dos Serviços</t>
  </si>
  <si>
    <t>M0059</t>
  </si>
  <si>
    <t>M0060</t>
  </si>
  <si>
    <t>M0065</t>
  </si>
  <si>
    <t xml:space="preserve">Fator de Ajuste da Distância do Canteiro aos Centros Fornecedores (k3) - Rodovia Pavimentada: </t>
  </si>
  <si>
    <t xml:space="preserve">Área total do terreno (AT): </t>
  </si>
  <si>
    <t xml:space="preserve">Fator de equivalência de áreas totais (FEAT): </t>
  </si>
  <si>
    <t xml:space="preserve">Custo Médio da Construção Civil - m² (CMCC): </t>
  </si>
  <si>
    <t xml:space="preserve">Coeficiente de proporcionalidade (CP): </t>
  </si>
  <si>
    <t xml:space="preserve">Área total do Laboratório (AC): </t>
  </si>
  <si>
    <t xml:space="preserve">Fator de equivalência de áreas totais (FEAC): </t>
  </si>
  <si>
    <t xml:space="preserve">Fator de ajuste do padrão de construção (k1) - Provisório: </t>
  </si>
  <si>
    <t xml:space="preserve">Total para a Intalação dos Canteiros, sem B.D.I. - R$: </t>
  </si>
  <si>
    <t>Cancanteiro Tipo de Construção Rodoviária de Pequeno Porte</t>
  </si>
  <si>
    <t>Alinhamento Pista Esquerda</t>
  </si>
  <si>
    <t>Corte</t>
  </si>
  <si>
    <t>Aterro</t>
  </si>
  <si>
    <t>Alinhamento Retorno 01</t>
  </si>
  <si>
    <t>Alinhamento Retorno 02</t>
  </si>
  <si>
    <t>Parcela Fixa da Administração Local para Obra de Construção Rodoviária de Pequeno Porte</t>
  </si>
  <si>
    <t>mês</t>
  </si>
  <si>
    <t xml:space="preserve">2.1. </t>
  </si>
  <si>
    <t xml:space="preserve">2.2. </t>
  </si>
  <si>
    <t xml:space="preserve">2.3. </t>
  </si>
  <si>
    <t>Veículo leve - 53 kW (sem motorista)</t>
  </si>
  <si>
    <t>Parcela Vinculada da Administração Local para Obra de Construção Rodoviária de Pequeno Porte</t>
  </si>
  <si>
    <t>Parcela Variável da Administração Local para Obra de Construção Rodoviária de Pequeno Porte</t>
  </si>
  <si>
    <t>Equipe de Topografia</t>
  </si>
  <si>
    <t xml:space="preserve">2. </t>
  </si>
  <si>
    <t>Reforço do subleito com material de jazida</t>
  </si>
  <si>
    <t>Lastro de brita comercial - espalhamento mecânico</t>
  </si>
  <si>
    <t>Cerca com 4 fios de arame farpado e mourão de madeira a cada 2,5 m e esticador a cada 50 m</t>
  </si>
  <si>
    <t>Container de 1 TEU com revestimento térmico (ar condicionado) com janela e 1 banheiro</t>
  </si>
  <si>
    <t>Container 3/4 de 1 TEU com janela</t>
  </si>
  <si>
    <t>Container 3/4 de 1 TEU com janela e 1 banheiro</t>
  </si>
  <si>
    <t>Auxiliar de laboratório</t>
  </si>
  <si>
    <t>Van furgão - 93 kW</t>
  </si>
  <si>
    <t xml:space="preserve">Distância do canteiro aos centros fornecedores (DT) - São Borja: </t>
  </si>
  <si>
    <t>Banheiro e Vestiário (Área de 11,17 m²)</t>
  </si>
  <si>
    <t>Refeitório e Cozinha (Área de 11,17 m²)</t>
  </si>
  <si>
    <t>Escritório e Seção Técnica (Área de 14,86 m²)</t>
  </si>
  <si>
    <t xml:space="preserve">Fator de Mobiliário e Aparelhagem (k2) - Construção Rodoviária de Pequeno Porte: </t>
  </si>
  <si>
    <t>Fresagem contínua de revestimento asfáltico</t>
  </si>
  <si>
    <t>solo 1ª cat.</t>
  </si>
  <si>
    <t>rocha</t>
  </si>
  <si>
    <t>BDI diferenciado para materiais asfálticos:</t>
  </si>
  <si>
    <t>Quadro de Quanditades de Terraplenagem</t>
  </si>
  <si>
    <t>Quadro de Quanditades de Enleivamento</t>
  </si>
  <si>
    <t>Área Real
(m²)</t>
  </si>
  <si>
    <t>Área Considerada
(m²)</t>
  </si>
  <si>
    <t>Tachas</t>
  </si>
  <si>
    <t>Tachões</t>
  </si>
  <si>
    <t>Quadro de Quanditades de Sarjetas</t>
  </si>
  <si>
    <t>STC-02</t>
  </si>
  <si>
    <t>Pista LE</t>
  </si>
  <si>
    <t>Placa em aço - película III + III - fornecimento e implantação</t>
  </si>
  <si>
    <t>Suporte para placa de sinalização em madeira de lei tratada 8 x 8 cm - fornecimento e implantação</t>
  </si>
  <si>
    <t>Pintura de faixa com tinta acrílica emulsionada em água - espessura de 0,4 mm</t>
  </si>
  <si>
    <t>Pintura de setas e zebrados com tinta acrílica emulsionada em água - espessura de 0,4 mm</t>
  </si>
  <si>
    <t>Tachão refletivo em resina sintética - monodirecional - fornecimento e colocação</t>
  </si>
  <si>
    <t>Tachão refletivo em resina sintética - bidirecional - fornecimento e colocação</t>
  </si>
  <si>
    <t>SCC-01</t>
  </si>
  <si>
    <t>Traçado - Passo Fundo/RS</t>
  </si>
  <si>
    <t>M3507</t>
  </si>
  <si>
    <t>Revestimento asfáltico</t>
  </si>
  <si>
    <t>M0560</t>
  </si>
  <si>
    <t>Desmoldante para fôrmas de madeira</t>
  </si>
  <si>
    <t>Tábua - E = 2,5 cm e L = 10 cm</t>
  </si>
  <si>
    <t>Aditivo plastificante e retardador de pega para concreto e argamassa</t>
  </si>
  <si>
    <t>Cimento Portland CP II - 32 - saco</t>
  </si>
  <si>
    <t>Guia de madeira de 2,5 x 8,0 cm - confecção e instalação</t>
  </si>
  <si>
    <t>Meio-fio de concreto - MFC 05 - areia e brita comerciais - fôrma de madeira</t>
  </si>
  <si>
    <t>Placa em aço nº 16 galvanizado com película retrorrefletiva tipo III + III - confecção</t>
  </si>
  <si>
    <t>Película retrorrefletiva tipo III</t>
  </si>
  <si>
    <t>Chapa fina em aço galvanizado</t>
  </si>
  <si>
    <t>Conjunto para fixação de placas em aço galvanizado composto por barra chata, abraçadeira, parafusos, porcas e arruelas</t>
  </si>
  <si>
    <t>M0789</t>
  </si>
  <si>
    <t>M1662</t>
  </si>
  <si>
    <t>M2128</t>
  </si>
  <si>
    <t>Suporte em madeira de eucalipto tratado - seção de 8 x 8 cm</t>
  </si>
  <si>
    <t>Tinta esmalte sintético acetinado</t>
  </si>
  <si>
    <t>Pedra de mão ou rachão</t>
  </si>
  <si>
    <t>Adesivo à base de resina poliéster</t>
  </si>
  <si>
    <t>Tachão refletivo em resina sintética monodirecional</t>
  </si>
  <si>
    <t>M3870</t>
  </si>
  <si>
    <t>M3869</t>
  </si>
  <si>
    <t>Tachão refletivo em resina sintética bidirecional</t>
  </si>
  <si>
    <t>Alinhamento do Acesso</t>
  </si>
  <si>
    <t>Quadro de Quanditades de Meio-Fio de Concreto</t>
  </si>
  <si>
    <t>MFC-05</t>
  </si>
  <si>
    <t>SEM DESONERAÇÃO</t>
  </si>
  <si>
    <t>P9949</t>
  </si>
  <si>
    <t>Topógrafo</t>
  </si>
  <si>
    <t>P9950</t>
  </si>
  <si>
    <t>Auxiliar de topografia</t>
  </si>
  <si>
    <t>Canteiro</t>
  </si>
  <si>
    <t>*101170</t>
  </si>
  <si>
    <t>https://sinduscon-rs.com.br/cub-rs/</t>
  </si>
  <si>
    <t>7º</t>
  </si>
  <si>
    <t>8º</t>
  </si>
  <si>
    <t>9º</t>
  </si>
  <si>
    <t>10º</t>
  </si>
  <si>
    <t>11º</t>
  </si>
  <si>
    <t>12º</t>
  </si>
  <si>
    <t>km 446,200 ao km 448,600</t>
  </si>
  <si>
    <t>Transporte com caminhão carroceria com capacidade de 7 t e com guindauto de 20 t.m - rodovia pavimentada</t>
  </si>
  <si>
    <t>13º</t>
  </si>
  <si>
    <t>14º</t>
  </si>
  <si>
    <t>15º</t>
  </si>
  <si>
    <t>16º</t>
  </si>
  <si>
    <t>17º</t>
  </si>
  <si>
    <t>18º</t>
  </si>
  <si>
    <t>Canteiros Interseção km 446,20</t>
  </si>
  <si>
    <t>Canteiros Interseção km 448,60</t>
  </si>
  <si>
    <t>Rua Lateral LD</t>
  </si>
  <si>
    <t>Rua Lateral LE</t>
  </si>
  <si>
    <t xml:space="preserve">Total (m): </t>
  </si>
  <si>
    <t>Escavação, carga e transporte de material de 1ª categoria - DMT de 600 a 800 m - caminho de serviço em leito natural - com escavadeira e caminhão basculante de 14 m³</t>
  </si>
  <si>
    <t>Corpo de BSTC D = 1,00 m PA1 - areia, brita e pedra de mão comerciais</t>
  </si>
  <si>
    <t>Boca de BSTC D = 1,00 m - esconsidade 0° - areia e brita comerciais - alas esconsas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</si>
  <si>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</si>
  <si>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</si>
  <si>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</si>
  <si>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</si>
  <si>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</si>
  <si>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</si>
  <si>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</si>
  <si>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</si>
  <si>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</si>
  <si>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</si>
  <si>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</si>
  <si>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</si>
  <si>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Aq.RR-1C</t>
  </si>
  <si>
    <t>Tr.RR-1C</t>
  </si>
  <si>
    <t>Tr.CM-30</t>
  </si>
  <si>
    <t>MOB</t>
  </si>
  <si>
    <t>INSTA</t>
  </si>
  <si>
    <t>ADM</t>
  </si>
  <si>
    <t>Argamassa de cimento e areia 1:4 - confecção em betoneira e lançamento manual - areia comercial</t>
  </si>
  <si>
    <t>Sarjeta triangular de concreto - STC 02 - escavação mecânica - areia e brita comerciais</t>
  </si>
  <si>
    <t>Fôrmas de tábuas de pinho para dispositivos de drenagem - utilização de 3 vezes - confecção, instalação e retirada</t>
  </si>
  <si>
    <t>Transporte de cimento ou cal hidratada a granel com caminhão silo de 30 m³ - rodovia pavimentada</t>
  </si>
  <si>
    <t>Operador de equipamento pesado</t>
  </si>
  <si>
    <t>Motorista de caminhão</t>
  </si>
  <si>
    <t>Adubo à base de nitrogênio, fósforo e potássio (NPK)</t>
  </si>
  <si>
    <t>Brita 4</t>
  </si>
  <si>
    <t>Pó calcário dolomítico</t>
  </si>
  <si>
    <t>Tinta à base de resina acrílica emulsionada em água para demarcação viária</t>
  </si>
  <si>
    <t>Microesferas refletivas de vidro tipo I-B</t>
  </si>
  <si>
    <t>Microesferas refletivas de vidro tipo II-A</t>
  </si>
  <si>
    <t>Tinta à base de resina acrílica emulsionada em água para pré-marcação viária</t>
  </si>
  <si>
    <t>Tubo de concreto armado PA1 - D = 0,60 m</t>
  </si>
  <si>
    <t>Camada granular (base ou sub-base)</t>
  </si>
  <si>
    <t>Tacha refletiva em plástico injetado bidirecional sem pino - tipo I</t>
  </si>
  <si>
    <t>Aquisição de RR-1C</t>
  </si>
  <si>
    <t>Transporte de RR-1C</t>
  </si>
  <si>
    <t>Aq.RC-1C-E</t>
  </si>
  <si>
    <t>Aquisição de RC 1C-E</t>
  </si>
  <si>
    <t>Tr.RC-1C-E</t>
  </si>
  <si>
    <t>Transporte de RC 1C-E</t>
  </si>
  <si>
    <t>Aq.CAP-60/85</t>
  </si>
  <si>
    <t>Aquisição de CAP 60/85</t>
  </si>
  <si>
    <t>Tr.CAP-60/85</t>
  </si>
  <si>
    <t>Transporte de CAP 60/85</t>
  </si>
  <si>
    <t>Aq.CAP-50/70</t>
  </si>
  <si>
    <t>Aquisição de CAP 50/70</t>
  </si>
  <si>
    <t>Tr.CAP-50/70</t>
  </si>
  <si>
    <t>Transporte de CAP 50/70</t>
  </si>
  <si>
    <t>VALORES DE REFERÊNCIA PARA AS TAXAS DE BENEFÍCIOS E DESPESAS INDIRETAS (BDI)</t>
  </si>
  <si>
    <t>Alíquota
do ISSQN
(%)</t>
  </si>
  <si>
    <t>km
Inicial</t>
  </si>
  <si>
    <t>km
Final</t>
  </si>
  <si>
    <t>Extensão
(km)</t>
  </si>
  <si>
    <t>Equivalência
(%)</t>
  </si>
  <si>
    <t>Base de Cálculo
(%)</t>
  </si>
  <si>
    <t>Totais / Médias</t>
  </si>
  <si>
    <t>DETALHAMENTO DO BDI - SEM DESONERAÇÃO</t>
  </si>
  <si>
    <t>% SOBRE PV</t>
  </si>
  <si>
    <t>% SOBRE CD</t>
  </si>
  <si>
    <t>1,04% sobre (PV - Lucro)</t>
  </si>
  <si>
    <t>Subtotal 1</t>
  </si>
  <si>
    <t>Subtotal 2</t>
  </si>
  <si>
    <t>0,65% de PV</t>
  </si>
  <si>
    <t>3,00% de PV</t>
  </si>
  <si>
    <t>Subtotal 3</t>
  </si>
  <si>
    <t>Total - BDI (%)</t>
  </si>
  <si>
    <t>DETALHAMENTO DO BDI - COM DESONERAÇÃO</t>
  </si>
  <si>
    <t>1,01% sobre (PV - Lucro)</t>
  </si>
  <si>
    <t>Contribuição Previdenciária sobre a Receita Bruta (CPRB)</t>
  </si>
  <si>
    <t>4,50% de PV</t>
  </si>
  <si>
    <t>Tipo de
Material
Asfáltico</t>
  </si>
  <si>
    <t>Quantidade
de Material
(t)</t>
  </si>
  <si>
    <t>BDI
Diferenciado
(%)</t>
  </si>
  <si>
    <t>Valor da ANP
(R$/kg)</t>
  </si>
  <si>
    <t>Origem
do Preço</t>
  </si>
  <si>
    <t>Tributos*
(%)</t>
  </si>
  <si>
    <t>Preço Unitário
(R$/ton)</t>
  </si>
  <si>
    <t>Custo
(R$)</t>
  </si>
  <si>
    <t>DMT</t>
  </si>
  <si>
    <t>CAP-50/70</t>
  </si>
  <si>
    <t>Estado do RS</t>
  </si>
  <si>
    <t>Estado do PR</t>
  </si>
  <si>
    <t>Estado de SP</t>
  </si>
  <si>
    <t>Região Sul</t>
  </si>
  <si>
    <t>RC-1C - E</t>
  </si>
  <si>
    <t>Melhor
Custo</t>
  </si>
  <si>
    <t>Melhor
DMT</t>
  </si>
  <si>
    <t>Melhor Preço
(R$/ton)</t>
  </si>
  <si>
    <t>Referência do Preço
na ANP</t>
  </si>
  <si>
    <t>OBSERVAÇÕES:</t>
  </si>
  <si>
    <t>* Os tributos considerados são PIS e Cofins.</t>
  </si>
  <si>
    <t>Com base na Portaria nº 1.078 de 11 de agosto de 2015 - Publicada no DOU nº 153 de 12 de agosto de 2015, as equações de cálculo do transporte de materiais betuminosos são:</t>
  </si>
  <si>
    <t/>
  </si>
  <si>
    <t>Municípios</t>
  </si>
  <si>
    <t>BOZANO</t>
  </si>
  <si>
    <t>Construção: Pequeno Porte</t>
  </si>
  <si>
    <r>
      <rPr>
        <b/>
        <sz val="10"/>
        <rFont val="Times New Roman"/>
        <family val="1"/>
      </rPr>
      <t>Observação:</t>
    </r>
    <r>
      <rPr>
        <sz val="10"/>
        <rFont val="Times New Roman"/>
        <family val="1"/>
      </rPr>
      <t xml:space="preserve"> O valores expostos foram calculados utilizando como referencia a alíquota da meta SELIC no valor de </t>
    </r>
    <r>
      <rPr>
        <b/>
        <sz val="10"/>
        <color rgb="FFC00000"/>
        <rFont val="Times New Roman"/>
        <family val="1"/>
      </rPr>
      <t>13,25%</t>
    </r>
    <r>
      <rPr>
        <sz val="10"/>
        <rFont val="Times New Roman"/>
        <family val="1"/>
      </rPr>
      <t xml:space="preserve"> ao ano uma vez que a data de orçamento é </t>
    </r>
    <r>
      <rPr>
        <b/>
        <sz val="10"/>
        <color rgb="FFC00000"/>
        <rFont val="Times New Roman"/>
        <family val="1"/>
      </rPr>
      <t>outubro/2022</t>
    </r>
    <r>
      <rPr>
        <sz val="10"/>
        <rFont val="Times New Roman"/>
        <family val="1"/>
      </rPr>
      <t>.</t>
    </r>
  </si>
  <si>
    <t xml:space="preserve">Data SICRO: </t>
  </si>
  <si>
    <t>Data Obra:</t>
  </si>
  <si>
    <t>outubro de 2022</t>
  </si>
  <si>
    <t>fevereiro de 2023</t>
  </si>
  <si>
    <t>Aq.CM-30</t>
  </si>
  <si>
    <t>Aquisição de Asfalto Diluído CM-30</t>
  </si>
  <si>
    <t>Transporte de Asfalto Diluído CM-30</t>
  </si>
  <si>
    <t>CM-30</t>
  </si>
  <si>
    <t>Região Sudeste</t>
  </si>
  <si>
    <t>Execução de Pavimento em Pedras Poliédricas, Rejuntamento com Pó de Pedra</t>
  </si>
  <si>
    <t>MODELO PARA COTAÇÃO DE REFERÊNCIA PARA A OBRA</t>
  </si>
  <si>
    <t>MOBILIZAÇÃO E DESMOBILIZAÇÃO, CANTEIRO E ADM. LOCAL</t>
  </si>
  <si>
    <t>CRONOGRAMA DE ATIVIDADES PARA A OBRA</t>
  </si>
  <si>
    <r>
      <t>Soma dos Custos dos Contêineres (ΣCCi x QC</t>
    </r>
    <r>
      <rPr>
        <b/>
        <sz val="8"/>
        <rFont val="Times New Roman"/>
        <family val="1"/>
      </rPr>
      <t>i</t>
    </r>
    <r>
      <rPr>
        <b/>
        <sz val="10"/>
        <rFont val="Times New Roman"/>
        <family val="1"/>
      </rPr>
      <t>):</t>
    </r>
  </si>
  <si>
    <t>Toneladas
por Unidade
de Serviço</t>
  </si>
  <si>
    <t>Massa a
Transportar
(t)</t>
  </si>
  <si>
    <t>Momento de
Transporte
(t*km)</t>
  </si>
  <si>
    <t>estaca 0+185 LD</t>
  </si>
  <si>
    <t>estaca 0+220 Eixo</t>
  </si>
  <si>
    <t>estaca 0,550 LD</t>
  </si>
  <si>
    <t>estaca 1+105 Eixo</t>
  </si>
  <si>
    <t>estaca 1+320 Eixo</t>
  </si>
  <si>
    <t>B-05</t>
  </si>
  <si>
    <t>B-06</t>
  </si>
  <si>
    <t>estaca 1+450 LD</t>
  </si>
  <si>
    <t>estaca 2+025 Eixo</t>
  </si>
  <si>
    <t>B-07</t>
  </si>
  <si>
    <t>B-08</t>
  </si>
  <si>
    <t>B-09</t>
  </si>
  <si>
    <t>estaca 2+390 LE</t>
  </si>
  <si>
    <t>estaca 2+430 LE</t>
  </si>
  <si>
    <t>B-10</t>
  </si>
  <si>
    <t>km 448+600 LE</t>
  </si>
  <si>
    <t>BN-01</t>
  </si>
  <si>
    <t>BN-02</t>
  </si>
  <si>
    <t>BN-03</t>
  </si>
  <si>
    <t>BN-04</t>
  </si>
  <si>
    <t>BN-05</t>
  </si>
  <si>
    <t>BN-06</t>
  </si>
  <si>
    <t>BN-07</t>
  </si>
  <si>
    <t>BN-08</t>
  </si>
  <si>
    <t>BN-09</t>
  </si>
  <si>
    <t>BN-10</t>
  </si>
  <si>
    <t>Interseção</t>
  </si>
  <si>
    <t>Outras Sinalizações</t>
  </si>
  <si>
    <t>Interseção/Lombada</t>
  </si>
  <si>
    <t>Bordas BR-285</t>
  </si>
  <si>
    <t>Eixo da Interseção</t>
  </si>
  <si>
    <t>Eixo Pista / Interseção</t>
  </si>
  <si>
    <t>Bordas Pista / Interseção</t>
  </si>
  <si>
    <t>Int.</t>
  </si>
  <si>
    <t>km 446+300</t>
  </si>
  <si>
    <t>est. 0+550</t>
  </si>
  <si>
    <t>est. 1+440</t>
  </si>
  <si>
    <t>est. 2+390</t>
  </si>
  <si>
    <t>km 448+600</t>
  </si>
  <si>
    <t>R-25b</t>
  </si>
  <si>
    <t>A - 18</t>
  </si>
  <si>
    <t>MO - 04</t>
  </si>
  <si>
    <t>I - 00</t>
  </si>
  <si>
    <t>1,0 x 2,0m</t>
  </si>
  <si>
    <t>I - 01</t>
  </si>
  <si>
    <t xml:space="preserve"> R-4a</t>
  </si>
  <si>
    <t>km 448+400</t>
  </si>
  <si>
    <t>km 448+800</t>
  </si>
  <si>
    <t>Zebrados</t>
  </si>
  <si>
    <t xml:space="preserve">Sub Total - Terraplanagem : </t>
  </si>
  <si>
    <t xml:space="preserve">Sub Total - Pavimentação : </t>
  </si>
  <si>
    <t xml:space="preserve">Sub Total - Drenagem : </t>
  </si>
  <si>
    <t xml:space="preserve">Sub Total - Obras Complementares : </t>
  </si>
  <si>
    <t xml:space="preserve">Sub Total - Sinalização : </t>
  </si>
  <si>
    <t xml:space="preserve">Sub Total - Ligantes Asfálticos : </t>
  </si>
  <si>
    <t xml:space="preserve">Sub Total - Transportes : </t>
  </si>
  <si>
    <t xml:space="preserve">Sub Total - Mobilização e Desmobilização, Canteiro e Adm. Local : </t>
  </si>
  <si>
    <t xml:space="preserve">Sub Total - Cancanteiro Tipo de Construção Rodoviária de Pequeno Porte - R$: </t>
  </si>
  <si>
    <t xml:space="preserve">Sub Total - Laboratório - R$: </t>
  </si>
  <si>
    <t>Pessoal (de Porto Alegre até )</t>
  </si>
  <si>
    <t>Equipamentos de Pequeno Porte (de Porto Alegre até )</t>
  </si>
  <si>
    <t>Veículos leves, Caminhões Comuns e Ônibus (de Porto Alegre até )</t>
  </si>
  <si>
    <t>Equipamentos e Veículos de Grande Porte (de Porto Alegre até )</t>
  </si>
  <si>
    <t xml:space="preserve">Sub Total - A - </t>
  </si>
  <si>
    <t xml:space="preserve">Sub Total - B - </t>
  </si>
  <si>
    <t xml:space="preserve">Sub Total - C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</si>
</sst>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0"/>
    <numFmt numFmtId="166" formatCode="0&quot;. &quot;"/>
    <numFmt numFmtId="167" formatCode="0.0000"/>
    <numFmt numFmtId="168" formatCode="#,##0.000;\-#,##0.000"/>
    <numFmt numFmtId="169" formatCode="[$-416]mmm\-yy;@"/>
    <numFmt numFmtId="170" formatCode="#,##0.00000;\-#,##0.00000"/>
    <numFmt numFmtId="171" formatCode="0.00000"/>
    <numFmt numFmtId="172" formatCode="0.000000"/>
    <numFmt numFmtId="173" formatCode="#,##0.0000_);\(#,##0.0000\)"/>
    <numFmt numFmtId="174" formatCode="#,##0.00000_);\(#,##0.00000\)"/>
    <numFmt numFmtId="175" formatCode="0.000"/>
    <numFmt numFmtId="176" formatCode="0000000"/>
    <numFmt numFmtId="177" formatCode="#,##0_);\(#,##0\)"/>
    <numFmt numFmtId="178" formatCode="#,##0.000_);\(#,##0.000\)"/>
    <numFmt numFmtId="179" formatCode="0\+000"/>
    <numFmt numFmtId="180" formatCode="mmm/yyyy"/>
    <numFmt numFmtId="181" formatCode="#,##0.0"/>
    <numFmt numFmtId="182" formatCode="_-* #,##0.00000_-;\-* #,##0.00000_-;_-* &quot;-&quot;??_-;_-@_-"/>
    <numFmt numFmtId="183" formatCode="_-* #,##0.0000_-;\-* #,##0.0000_-;_-* &quot;-&quot;??_-;_-@_-"/>
    <numFmt numFmtId="184" formatCode="0\+000.00"/>
    <numFmt numFmtId="185" formatCode="#,##0.0000"/>
    <numFmt numFmtId="186" formatCode="#,##0.00000"/>
    <numFmt numFmtId="187" formatCode="0.0%"/>
    <numFmt numFmtId="188" formatCode="#,##0.00_);[Red]\(#,##0.00\)"/>
    <numFmt numFmtId="189" formatCode="_(* #,##0.000_);_(* \(#,##0.000\);_(* \-??_);_(@_)"/>
    <numFmt numFmtId="190" formatCode="#,##0.0000;\-#,##0.0000"/>
    <numFmt numFmtId="191" formatCode="#,##0.000_ ;\-#,##0.000\ "/>
    <numFmt numFmtId="192" formatCode="#,##0.00_ ;\-#,##0.00\ "/>
    <numFmt numFmtId="193" formatCode="#,##0.00000000000;\-#,##0.0000000000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ourier"/>
    </font>
    <font>
      <sz val="10"/>
      <name val="Courier New"/>
      <family val="3"/>
    </font>
    <font>
      <b/>
      <sz val="11"/>
      <name val="Calibri"/>
      <family val="2"/>
      <scheme val="minor"/>
    </font>
    <font>
      <u/>
      <sz val="10"/>
      <color theme="10"/>
      <name val="Courier New"/>
      <family val="3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Times New Roman"/>
      <family val="1"/>
    </font>
    <font>
      <sz val="10"/>
      <color rgb="FF002060"/>
      <name val="Times New Roman"/>
      <family val="1"/>
    </font>
    <font>
      <b/>
      <sz val="10"/>
      <color rgb="FF002776"/>
      <name val="Times New Roman"/>
      <family val="1"/>
    </font>
    <font>
      <i/>
      <sz val="10"/>
      <name val="Times New Roman"/>
      <family val="1"/>
    </font>
    <font>
      <u/>
      <sz val="10"/>
      <color theme="10"/>
      <name val="Times New Roman"/>
      <family val="1"/>
    </font>
    <font>
      <b/>
      <i/>
      <sz val="10"/>
      <color rgb="FFC00000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rgb="FFC00000"/>
      <name val="Times New Roman"/>
      <family val="1"/>
    </font>
    <font>
      <b/>
      <sz val="11"/>
      <color theme="1"/>
      <name val="Times New Roman"/>
      <family val="1"/>
    </font>
    <font>
      <sz val="11"/>
      <color rgb="FFC00000"/>
      <name val="Times New Roman"/>
      <family val="1"/>
    </font>
    <font>
      <sz val="11"/>
      <name val="Times New Roman"/>
      <family val="1"/>
    </font>
    <font>
      <sz val="11"/>
      <color rgb="FFFFC000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rgb="FFC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7" fillId="0" borderId="0"/>
    <xf numFmtId="0" fontId="10" fillId="0" borderId="0" applyNumberFormat="0" applyFill="0" applyBorder="0" applyAlignment="0" applyProtection="0"/>
    <xf numFmtId="0" fontId="13" fillId="0" borderId="0"/>
    <xf numFmtId="0" fontId="2" fillId="0" borderId="0"/>
    <xf numFmtId="0" fontId="3" fillId="0" borderId="0"/>
    <xf numFmtId="9" fontId="8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188" fontId="8" fillId="0" borderId="0" applyFill="0" applyBorder="0" applyAlignment="0" applyProtection="0"/>
    <xf numFmtId="9" fontId="8" fillId="0" borderId="0" applyFill="0" applyBorder="0" applyAlignment="0" applyProtection="0"/>
    <xf numFmtId="44" fontId="8" fillId="0" borderId="0" applyFont="0" applyFill="0" applyBorder="0" applyAlignment="0" applyProtection="0"/>
  </cellStyleXfs>
  <cellXfs count="895">
    <xf numFmtId="0" fontId="0" fillId="0" borderId="0" xfId="0"/>
    <xf numFmtId="0" fontId="0" fillId="0" borderId="0" xfId="0" applyAlignment="1">
      <alignment vertical="center"/>
    </xf>
    <xf numFmtId="164" fontId="0" fillId="0" borderId="1" xfId="2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right" vertical="center"/>
    </xf>
    <xf numFmtId="164" fontId="0" fillId="0" borderId="3" xfId="2" applyFont="1" applyBorder="1" applyAlignment="1">
      <alignment vertical="center"/>
    </xf>
    <xf numFmtId="10" fontId="0" fillId="0" borderId="3" xfId="3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right" vertical="center"/>
    </xf>
    <xf numFmtId="164" fontId="0" fillId="0" borderId="5" xfId="2" applyFont="1" applyBorder="1" applyAlignment="1">
      <alignment vertical="center"/>
    </xf>
    <xf numFmtId="10" fontId="0" fillId="0" borderId="5" xfId="3" applyNumberFormat="1" applyFont="1" applyBorder="1" applyAlignment="1">
      <alignment vertical="center"/>
    </xf>
    <xf numFmtId="164" fontId="1" fillId="0" borderId="5" xfId="2" applyFont="1" applyBorder="1" applyAlignment="1">
      <alignment horizontal="right" vertical="center"/>
    </xf>
    <xf numFmtId="164" fontId="1" fillId="0" borderId="6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164" fontId="1" fillId="5" borderId="5" xfId="2" applyFont="1" applyFill="1" applyBorder="1" applyAlignment="1">
      <alignment horizontal="right" vertical="center"/>
    </xf>
    <xf numFmtId="164" fontId="1" fillId="5" borderId="6" xfId="0" applyNumberFormat="1" applyFont="1" applyFill="1" applyBorder="1" applyAlignment="1">
      <alignment vertical="center"/>
    </xf>
    <xf numFmtId="167" fontId="6" fillId="0" borderId="0" xfId="0" applyNumberFormat="1" applyFont="1" applyAlignment="1">
      <alignment vertical="center"/>
    </xf>
    <xf numFmtId="10" fontId="12" fillId="0" borderId="0" xfId="3" applyNumberFormat="1" applyFont="1" applyAlignment="1">
      <alignment vertical="center"/>
    </xf>
    <xf numFmtId="0" fontId="12" fillId="0" borderId="0" xfId="0" applyFont="1" applyAlignment="1">
      <alignment vertical="center"/>
    </xf>
    <xf numFmtId="171" fontId="6" fillId="0" borderId="0" xfId="0" applyNumberFormat="1" applyFont="1" applyAlignment="1">
      <alignment vertical="center"/>
    </xf>
    <xf numFmtId="10" fontId="11" fillId="0" borderId="0" xfId="3" applyNumberFormat="1" applyFon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79" fontId="3" fillId="0" borderId="1" xfId="7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2" fillId="6" borderId="4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80" fontId="12" fillId="7" borderId="6" xfId="0" applyNumberFormat="1" applyFont="1" applyFill="1" applyBorder="1" applyAlignment="1">
      <alignment horizontal="center" vertical="center"/>
    </xf>
    <xf numFmtId="166" fontId="4" fillId="7" borderId="4" xfId="0" applyNumberFormat="1" applyFont="1" applyFill="1" applyBorder="1" applyAlignment="1">
      <alignment horizontal="right" vertical="center"/>
    </xf>
    <xf numFmtId="0" fontId="4" fillId="7" borderId="5" xfId="0" applyFont="1" applyFill="1" applyBorder="1" applyAlignment="1">
      <alignment vertical="center"/>
    </xf>
    <xf numFmtId="10" fontId="12" fillId="7" borderId="5" xfId="3" applyNumberFormat="1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9" fontId="4" fillId="14" borderId="5" xfId="0" applyNumberFormat="1" applyFont="1" applyFill="1" applyBorder="1" applyAlignment="1">
      <alignment horizontal="center" vertical="center"/>
    </xf>
    <xf numFmtId="165" fontId="4" fillId="14" borderId="5" xfId="0" applyNumberFormat="1" applyFont="1" applyFill="1" applyBorder="1" applyAlignment="1">
      <alignment horizontal="center" vertical="center"/>
    </xf>
    <xf numFmtId="181" fontId="4" fillId="14" borderId="5" xfId="0" applyNumberFormat="1" applyFont="1" applyFill="1" applyBorder="1" applyAlignment="1">
      <alignment horizontal="center" vertical="center"/>
    </xf>
    <xf numFmtId="181" fontId="4" fillId="14" borderId="6" xfId="0" applyNumberFormat="1" applyFont="1" applyFill="1" applyBorder="1" applyAlignment="1">
      <alignment horizontal="center" vertical="center"/>
    </xf>
    <xf numFmtId="165" fontId="12" fillId="6" borderId="1" xfId="0" applyNumberFormat="1" applyFont="1" applyFill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12" fillId="7" borderId="5" xfId="0" applyFont="1" applyFill="1" applyBorder="1" applyAlignment="1">
      <alignment horizontal="right" vertical="center"/>
    </xf>
    <xf numFmtId="165" fontId="9" fillId="6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5" fillId="0" borderId="1" xfId="0" applyFont="1" applyBorder="1" applyAlignment="1">
      <alignment horizontal="left"/>
    </xf>
    <xf numFmtId="18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165" fontId="5" fillId="0" borderId="3" xfId="0" applyNumberFormat="1" applyFont="1" applyBorder="1" applyAlignment="1">
      <alignment horizontal="right" vertical="center"/>
    </xf>
    <xf numFmtId="165" fontId="1" fillId="6" borderId="0" xfId="0" applyNumberFormat="1" applyFont="1" applyFill="1"/>
    <xf numFmtId="165" fontId="1" fillId="6" borderId="15" xfId="0" applyNumberFormat="1" applyFont="1" applyFill="1" applyBorder="1" applyAlignment="1">
      <alignment horizontal="right"/>
    </xf>
    <xf numFmtId="165" fontId="1" fillId="6" borderId="9" xfId="0" applyNumberFormat="1" applyFont="1" applyFill="1" applyBorder="1"/>
    <xf numFmtId="165" fontId="1" fillId="6" borderId="10" xfId="0" applyNumberFormat="1" applyFont="1" applyFill="1" applyBorder="1" applyAlignment="1">
      <alignment horizontal="right"/>
    </xf>
    <xf numFmtId="0" fontId="9" fillId="6" borderId="11" xfId="0" applyFont="1" applyFill="1" applyBorder="1" applyAlignment="1">
      <alignment horizontal="right" vertical="center"/>
    </xf>
    <xf numFmtId="0" fontId="1" fillId="6" borderId="8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165" fontId="1" fillId="6" borderId="6" xfId="0" applyNumberFormat="1" applyFont="1" applyFill="1" applyBorder="1" applyAlignment="1">
      <alignment horizontal="center" vertical="center"/>
    </xf>
    <xf numFmtId="164" fontId="6" fillId="0" borderId="3" xfId="2" applyFont="1" applyBorder="1" applyAlignment="1">
      <alignment vertical="center"/>
    </xf>
    <xf numFmtId="10" fontId="0" fillId="0" borderId="0" xfId="3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6" borderId="5" xfId="0" applyFont="1" applyFill="1" applyBorder="1" applyAlignment="1">
      <alignment horizontal="right" vertical="center"/>
    </xf>
    <xf numFmtId="186" fontId="5" fillId="0" borderId="1" xfId="0" applyNumberFormat="1" applyFont="1" applyBorder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179" fontId="3" fillId="0" borderId="2" xfId="7" applyNumberFormat="1" applyFont="1" applyBorder="1" applyAlignment="1">
      <alignment horizontal="center" vertical="center"/>
    </xf>
    <xf numFmtId="165" fontId="12" fillId="6" borderId="5" xfId="0" applyNumberFormat="1" applyFont="1" applyFill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1" fillId="0" borderId="0" xfId="0" applyNumberFormat="1" applyFont="1" applyAlignment="1">
      <alignment vertical="center"/>
    </xf>
    <xf numFmtId="175" fontId="12" fillId="6" borderId="1" xfId="0" applyNumberFormat="1" applyFont="1" applyFill="1" applyBorder="1" applyAlignment="1">
      <alignment horizontal="center" vertical="center"/>
    </xf>
    <xf numFmtId="179" fontId="0" fillId="0" borderId="1" xfId="7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9" fontId="3" fillId="0" borderId="24" xfId="7" applyNumberFormat="1" applyFont="1" applyBorder="1" applyAlignment="1">
      <alignment horizontal="center" vertical="center"/>
    </xf>
    <xf numFmtId="179" fontId="3" fillId="0" borderId="25" xfId="7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0" xfId="0" applyNumberFormat="1" applyFont="1"/>
    <xf numFmtId="3" fontId="0" fillId="0" borderId="1" xfId="0" applyNumberForma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175" fontId="0" fillId="0" borderId="0" xfId="0" applyNumberFormat="1" applyAlignment="1">
      <alignment vertical="center"/>
    </xf>
    <xf numFmtId="176" fontId="18" fillId="0" borderId="3" xfId="0" applyNumberFormat="1" applyFont="1" applyBorder="1" applyAlignment="1">
      <alignment horizontal="center" vertical="center"/>
    </xf>
    <xf numFmtId="166" fontId="4" fillId="11" borderId="4" xfId="0" applyNumberFormat="1" applyFont="1" applyFill="1" applyBorder="1" applyAlignment="1">
      <alignment horizontal="right" vertical="center"/>
    </xf>
    <xf numFmtId="0" fontId="4" fillId="11" borderId="5" xfId="0" applyFont="1" applyFill="1" applyBorder="1" applyAlignment="1">
      <alignment vertical="center"/>
    </xf>
    <xf numFmtId="10" fontId="12" fillId="11" borderId="5" xfId="3" applyNumberFormat="1" applyFont="1" applyFill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0" fillId="18" borderId="0" xfId="0" applyFill="1" applyAlignment="1">
      <alignment vertical="center"/>
    </xf>
    <xf numFmtId="10" fontId="0" fillId="18" borderId="0" xfId="3" applyNumberFormat="1" applyFont="1" applyFill="1" applyAlignment="1">
      <alignment vertical="center"/>
    </xf>
    <xf numFmtId="167" fontId="6" fillId="18" borderId="0" xfId="0" applyNumberFormat="1" applyFont="1" applyFill="1" applyAlignment="1">
      <alignment vertical="center"/>
    </xf>
    <xf numFmtId="0" fontId="0" fillId="18" borderId="4" xfId="0" applyFill="1" applyBorder="1" applyAlignment="1">
      <alignment vertical="center"/>
    </xf>
    <xf numFmtId="0" fontId="0" fillId="18" borderId="5" xfId="0" applyFill="1" applyBorder="1" applyAlignment="1">
      <alignment vertical="center" wrapText="1"/>
    </xf>
    <xf numFmtId="0" fontId="0" fillId="18" borderId="5" xfId="0" applyFill="1" applyBorder="1" applyAlignment="1">
      <alignment horizontal="center" vertical="center"/>
    </xf>
    <xf numFmtId="165" fontId="0" fillId="18" borderId="5" xfId="0" applyNumberFormat="1" applyFill="1" applyBorder="1" applyAlignment="1">
      <alignment horizontal="right" vertical="center"/>
    </xf>
    <xf numFmtId="164" fontId="1" fillId="18" borderId="5" xfId="2" applyFont="1" applyFill="1" applyBorder="1" applyAlignment="1">
      <alignment horizontal="right" vertical="center"/>
    </xf>
    <xf numFmtId="164" fontId="1" fillId="18" borderId="6" xfId="0" applyNumberFormat="1" applyFont="1" applyFill="1" applyBorder="1" applyAlignment="1">
      <alignment vertical="center"/>
    </xf>
    <xf numFmtId="10" fontId="1" fillId="18" borderId="0" xfId="3" applyNumberFormat="1" applyFont="1" applyFill="1" applyAlignment="1">
      <alignment vertical="center"/>
    </xf>
    <xf numFmtId="0" fontId="12" fillId="18" borderId="0" xfId="0" applyFont="1" applyFill="1" applyAlignment="1">
      <alignment vertical="center"/>
    </xf>
    <xf numFmtId="10" fontId="12" fillId="18" borderId="0" xfId="3" applyNumberFormat="1" applyFont="1" applyFill="1" applyAlignment="1">
      <alignment vertical="center"/>
    </xf>
    <xf numFmtId="164" fontId="0" fillId="18" borderId="5" xfId="2" applyFont="1" applyFill="1" applyBorder="1" applyAlignment="1">
      <alignment vertical="center"/>
    </xf>
    <xf numFmtId="10" fontId="0" fillId="18" borderId="5" xfId="3" applyNumberFormat="1" applyFont="1" applyFill="1" applyBorder="1" applyAlignment="1">
      <alignment vertical="center"/>
    </xf>
    <xf numFmtId="0" fontId="23" fillId="0" borderId="0" xfId="10" applyFont="1" applyAlignment="1">
      <alignment vertical="center"/>
    </xf>
    <xf numFmtId="0" fontId="23" fillId="0" borderId="0" xfId="10" applyFont="1" applyAlignment="1" applyProtection="1">
      <alignment vertical="center"/>
      <protection hidden="1"/>
    </xf>
    <xf numFmtId="0" fontId="24" fillId="0" borderId="0" xfId="10" applyFont="1" applyAlignment="1" applyProtection="1">
      <alignment vertical="center"/>
      <protection hidden="1"/>
    </xf>
    <xf numFmtId="0" fontId="24" fillId="0" borderId="59" xfId="10" applyFont="1" applyBorder="1" applyAlignment="1" applyProtection="1">
      <alignment vertical="center"/>
      <protection hidden="1"/>
    </xf>
    <xf numFmtId="0" fontId="24" fillId="0" borderId="60" xfId="10" applyFont="1" applyBorder="1" applyAlignment="1" applyProtection="1">
      <alignment vertical="center"/>
      <protection hidden="1"/>
    </xf>
    <xf numFmtId="0" fontId="24" fillId="0" borderId="62" xfId="10" applyFont="1" applyBorder="1" applyAlignment="1" applyProtection="1">
      <alignment vertical="center"/>
      <protection hidden="1"/>
    </xf>
    <xf numFmtId="0" fontId="23" fillId="0" borderId="61" xfId="10" applyFont="1" applyBorder="1" applyAlignment="1">
      <alignment vertical="center"/>
    </xf>
    <xf numFmtId="0" fontId="23" fillId="0" borderId="62" xfId="10" applyFont="1" applyBorder="1" applyAlignment="1">
      <alignment vertical="center"/>
    </xf>
    <xf numFmtId="187" fontId="25" fillId="16" borderId="68" xfId="6" applyNumberFormat="1" applyFont="1" applyFill="1" applyBorder="1" applyAlignment="1">
      <alignment horizontal="center" vertical="center" wrapText="1"/>
    </xf>
    <xf numFmtId="187" fontId="25" fillId="16" borderId="1" xfId="6" applyNumberFormat="1" applyFont="1" applyFill="1" applyBorder="1" applyAlignment="1">
      <alignment horizontal="center" vertical="center" wrapText="1"/>
    </xf>
    <xf numFmtId="189" fontId="25" fillId="16" borderId="1" xfId="14" applyNumberFormat="1" applyFont="1" applyFill="1" applyBorder="1" applyAlignment="1" applyProtection="1">
      <alignment horizontal="center" vertical="center" wrapText="1"/>
    </xf>
    <xf numFmtId="10" fontId="25" fillId="16" borderId="1" xfId="15" applyNumberFormat="1" applyFont="1" applyFill="1" applyBorder="1" applyAlignment="1" applyProtection="1">
      <alignment horizontal="center" vertical="center" wrapText="1"/>
    </xf>
    <xf numFmtId="10" fontId="25" fillId="16" borderId="69" xfId="15" applyNumberFormat="1" applyFont="1" applyFill="1" applyBorder="1" applyAlignment="1" applyProtection="1">
      <alignment horizontal="center" vertical="center" wrapText="1"/>
    </xf>
    <xf numFmtId="49" fontId="23" fillId="0" borderId="68" xfId="10" applyNumberFormat="1" applyFont="1" applyBorder="1" applyAlignment="1" applyProtection="1">
      <alignment horizontal="center" vertical="center"/>
      <protection hidden="1"/>
    </xf>
    <xf numFmtId="187" fontId="23" fillId="0" borderId="1" xfId="9" applyNumberFormat="1" applyFont="1" applyFill="1" applyBorder="1" applyAlignment="1" applyProtection="1">
      <alignment horizontal="center" vertical="center"/>
      <protection hidden="1"/>
    </xf>
    <xf numFmtId="165" fontId="23" fillId="0" borderId="1" xfId="10" applyNumberFormat="1" applyFont="1" applyBorder="1" applyAlignment="1" applyProtection="1">
      <alignment horizontal="right" vertical="center"/>
      <protection hidden="1"/>
    </xf>
    <xf numFmtId="165" fontId="23" fillId="0" borderId="1" xfId="10" applyNumberFormat="1" applyFont="1" applyBorder="1" applyAlignment="1" applyProtection="1">
      <alignment vertical="center"/>
      <protection hidden="1"/>
    </xf>
    <xf numFmtId="165" fontId="23" fillId="0" borderId="1" xfId="10" applyNumberFormat="1" applyFont="1" applyBorder="1" applyAlignment="1" applyProtection="1">
      <alignment horizontal="center" vertical="center"/>
      <protection hidden="1"/>
    </xf>
    <xf numFmtId="10" fontId="23" fillId="0" borderId="1" xfId="9" applyNumberFormat="1" applyFont="1" applyFill="1" applyBorder="1" applyAlignment="1" applyProtection="1">
      <alignment horizontal="center" vertical="center"/>
      <protection hidden="1"/>
    </xf>
    <xf numFmtId="187" fontId="23" fillId="0" borderId="69" xfId="9" applyNumberFormat="1" applyFont="1" applyFill="1" applyBorder="1" applyAlignment="1" applyProtection="1">
      <alignment horizontal="center" vertical="center"/>
      <protection hidden="1"/>
    </xf>
    <xf numFmtId="0" fontId="23" fillId="0" borderId="0" xfId="10" applyFont="1" applyAlignment="1">
      <alignment horizontal="center" vertical="center"/>
    </xf>
    <xf numFmtId="165" fontId="23" fillId="0" borderId="0" xfId="10" applyNumberFormat="1" applyFont="1" applyAlignment="1">
      <alignment vertical="center"/>
    </xf>
    <xf numFmtId="167" fontId="23" fillId="0" borderId="0" xfId="10" applyNumberFormat="1" applyFont="1" applyAlignment="1">
      <alignment horizontal="center" vertical="center"/>
    </xf>
    <xf numFmtId="0" fontId="23" fillId="0" borderId="0" xfId="10" applyFont="1" applyAlignment="1" applyProtection="1">
      <alignment horizontal="center" vertical="center" wrapText="1"/>
      <protection hidden="1"/>
    </xf>
    <xf numFmtId="49" fontId="24" fillId="16" borderId="70" xfId="10" applyNumberFormat="1" applyFont="1" applyFill="1" applyBorder="1" applyAlignment="1" applyProtection="1">
      <alignment horizontal="center" vertical="center"/>
      <protection hidden="1"/>
    </xf>
    <xf numFmtId="187" fontId="24" fillId="16" borderId="2" xfId="9" applyNumberFormat="1" applyFont="1" applyFill="1" applyBorder="1" applyAlignment="1" applyProtection="1">
      <alignment horizontal="center" vertical="center"/>
      <protection hidden="1"/>
    </xf>
    <xf numFmtId="165" fontId="24" fillId="16" borderId="2" xfId="10" applyNumberFormat="1" applyFont="1" applyFill="1" applyBorder="1" applyAlignment="1" applyProtection="1">
      <alignment horizontal="center" vertical="center"/>
      <protection hidden="1"/>
    </xf>
    <xf numFmtId="10" fontId="24" fillId="16" borderId="2" xfId="9" applyNumberFormat="1" applyFont="1" applyFill="1" applyBorder="1" applyAlignment="1" applyProtection="1">
      <alignment horizontal="center" vertical="center"/>
      <protection hidden="1"/>
    </xf>
    <xf numFmtId="187" fontId="24" fillId="16" borderId="71" xfId="9" applyNumberFormat="1" applyFont="1" applyFill="1" applyBorder="1" applyAlignment="1" applyProtection="1">
      <alignment horizontal="center" vertical="center"/>
      <protection hidden="1"/>
    </xf>
    <xf numFmtId="10" fontId="26" fillId="16" borderId="73" xfId="9" applyNumberFormat="1" applyFont="1" applyFill="1" applyBorder="1" applyAlignment="1" applyProtection="1">
      <alignment horizontal="center" vertical="center"/>
      <protection hidden="1"/>
    </xf>
    <xf numFmtId="0" fontId="23" fillId="0" borderId="0" xfId="10" applyFont="1" applyAlignment="1" applyProtection="1">
      <alignment horizontal="center" vertical="center"/>
      <protection hidden="1"/>
    </xf>
    <xf numFmtId="165" fontId="24" fillId="0" borderId="1" xfId="10" applyNumberFormat="1" applyFont="1" applyBorder="1" applyAlignment="1" applyProtection="1">
      <alignment horizontal="center" vertical="center"/>
      <protection hidden="1"/>
    </xf>
    <xf numFmtId="0" fontId="24" fillId="0" borderId="69" xfId="10" applyFont="1" applyBorder="1" applyAlignment="1" applyProtection="1">
      <alignment horizontal="center" vertical="center"/>
      <protection hidden="1"/>
    </xf>
    <xf numFmtId="10" fontId="23" fillId="0" borderId="3" xfId="9" applyNumberFormat="1" applyFont="1" applyFill="1" applyBorder="1" applyAlignment="1" applyProtection="1">
      <alignment horizontal="center" vertical="center"/>
      <protection hidden="1"/>
    </xf>
    <xf numFmtId="10" fontId="23" fillId="0" borderId="74" xfId="9" applyNumberFormat="1" applyFont="1" applyFill="1" applyBorder="1" applyAlignment="1" applyProtection="1">
      <alignment horizontal="center" vertical="center"/>
      <protection hidden="1"/>
    </xf>
    <xf numFmtId="10" fontId="25" fillId="0" borderId="3" xfId="9" applyNumberFormat="1" applyFont="1" applyFill="1" applyBorder="1" applyAlignment="1" applyProtection="1">
      <alignment horizontal="center" vertical="center"/>
      <protection hidden="1"/>
    </xf>
    <xf numFmtId="10" fontId="25" fillId="0" borderId="74" xfId="9" applyNumberFormat="1" applyFont="1" applyFill="1" applyBorder="1" applyAlignment="1" applyProtection="1">
      <alignment horizontal="center" vertical="center"/>
      <protection hidden="1"/>
    </xf>
    <xf numFmtId="10" fontId="27" fillId="4" borderId="3" xfId="9" applyNumberFormat="1" applyFont="1" applyFill="1" applyBorder="1" applyAlignment="1" applyProtection="1">
      <alignment horizontal="center" vertical="center"/>
      <protection hidden="1"/>
    </xf>
    <xf numFmtId="10" fontId="24" fillId="9" borderId="3" xfId="9" applyNumberFormat="1" applyFont="1" applyFill="1" applyBorder="1" applyAlignment="1" applyProtection="1">
      <alignment horizontal="center" vertical="center"/>
      <protection hidden="1"/>
    </xf>
    <xf numFmtId="10" fontId="24" fillId="9" borderId="74" xfId="9" applyNumberFormat="1" applyFont="1" applyFill="1" applyBorder="1" applyAlignment="1" applyProtection="1">
      <alignment horizontal="center" vertical="center"/>
      <protection hidden="1"/>
    </xf>
    <xf numFmtId="172" fontId="23" fillId="0" borderId="0" xfId="10" applyNumberFormat="1" applyFont="1" applyAlignment="1">
      <alignment horizontal="center" vertical="center"/>
    </xf>
    <xf numFmtId="10" fontId="23" fillId="0" borderId="0" xfId="10" applyNumberFormat="1" applyFont="1" applyAlignment="1">
      <alignment vertical="center"/>
    </xf>
    <xf numFmtId="10" fontId="23" fillId="0" borderId="0" xfId="10" applyNumberFormat="1" applyFont="1" applyAlignment="1" applyProtection="1">
      <alignment vertical="center" wrapText="1"/>
      <protection hidden="1"/>
    </xf>
    <xf numFmtId="171" fontId="23" fillId="0" borderId="0" xfId="10" applyNumberFormat="1" applyFont="1" applyAlignment="1">
      <alignment vertical="center"/>
    </xf>
    <xf numFmtId="10" fontId="23" fillId="0" borderId="0" xfId="10" applyNumberFormat="1" applyFont="1" applyAlignment="1">
      <alignment horizontal="center" vertical="center"/>
    </xf>
    <xf numFmtId="0" fontId="23" fillId="0" borderId="0" xfId="10" applyFont="1" applyAlignment="1" applyProtection="1">
      <alignment vertical="center" wrapText="1"/>
      <protection hidden="1"/>
    </xf>
    <xf numFmtId="171" fontId="23" fillId="0" borderId="0" xfId="10" applyNumberFormat="1" applyFont="1" applyAlignment="1" applyProtection="1">
      <alignment vertical="center"/>
      <protection hidden="1"/>
    </xf>
    <xf numFmtId="49" fontId="24" fillId="0" borderId="61" xfId="10" applyNumberFormat="1" applyFont="1" applyBorder="1" applyAlignment="1" applyProtection="1">
      <alignment horizontal="center" vertical="center"/>
      <protection hidden="1"/>
    </xf>
    <xf numFmtId="49" fontId="24" fillId="0" borderId="0" xfId="10" applyNumberFormat="1" applyFont="1" applyAlignment="1" applyProtection="1">
      <alignment horizontal="center" vertical="center"/>
      <protection hidden="1"/>
    </xf>
    <xf numFmtId="49" fontId="24" fillId="0" borderId="62" xfId="10" applyNumberFormat="1" applyFont="1" applyBorder="1" applyAlignment="1" applyProtection="1">
      <alignment horizontal="center" vertical="center"/>
      <protection hidden="1"/>
    </xf>
    <xf numFmtId="0" fontId="23" fillId="0" borderId="61" xfId="10" applyFont="1" applyBorder="1" applyAlignment="1" applyProtection="1">
      <alignment horizontal="left" vertical="center" wrapText="1"/>
      <protection hidden="1"/>
    </xf>
    <xf numFmtId="0" fontId="23" fillId="0" borderId="0" xfId="10" applyFont="1" applyAlignment="1" applyProtection="1">
      <alignment horizontal="left" vertical="center" wrapText="1"/>
      <protection hidden="1"/>
    </xf>
    <xf numFmtId="0" fontId="23" fillId="0" borderId="62" xfId="10" applyFont="1" applyBorder="1" applyAlignment="1" applyProtection="1">
      <alignment horizontal="left" vertical="center" wrapText="1"/>
      <protection hidden="1"/>
    </xf>
    <xf numFmtId="0" fontId="23" fillId="0" borderId="63" xfId="10" applyFont="1" applyBorder="1" applyAlignment="1" applyProtection="1">
      <alignment horizontal="right" vertical="center" wrapText="1"/>
      <protection hidden="1"/>
    </xf>
    <xf numFmtId="10" fontId="27" fillId="0" borderId="64" xfId="9" applyNumberFormat="1" applyFont="1" applyFill="1" applyBorder="1" applyAlignment="1" applyProtection="1">
      <alignment horizontal="center" vertical="center" wrapText="1"/>
      <protection hidden="1"/>
    </xf>
    <xf numFmtId="0" fontId="23" fillId="0" borderId="64" xfId="10" applyFont="1" applyBorder="1" applyAlignment="1" applyProtection="1">
      <alignment vertical="center" wrapText="1"/>
      <protection hidden="1"/>
    </xf>
    <xf numFmtId="0" fontId="23" fillId="0" borderId="65" xfId="10" applyFont="1" applyBorder="1" applyAlignment="1" applyProtection="1">
      <alignment vertical="center" wrapText="1"/>
      <protection hidden="1"/>
    </xf>
    <xf numFmtId="39" fontId="23" fillId="18" borderId="0" xfId="4" applyFont="1" applyFill="1" applyAlignment="1">
      <alignment vertical="center"/>
    </xf>
    <xf numFmtId="39" fontId="23" fillId="18" borderId="0" xfId="4" applyFont="1" applyFill="1" applyAlignment="1">
      <alignment horizontal="center" vertical="center"/>
    </xf>
    <xf numFmtId="39" fontId="24" fillId="18" borderId="0" xfId="4" applyFont="1" applyFill="1" applyAlignment="1">
      <alignment horizontal="center" vertical="center"/>
    </xf>
    <xf numFmtId="39" fontId="23" fillId="0" borderId="0" xfId="4" applyFont="1" applyAlignment="1">
      <alignment horizontal="center" vertical="center"/>
    </xf>
    <xf numFmtId="39" fontId="23" fillId="0" borderId="0" xfId="4" applyFont="1" applyAlignment="1">
      <alignment vertical="center"/>
    </xf>
    <xf numFmtId="0" fontId="24" fillId="18" borderId="58" xfId="10" applyFont="1" applyFill="1" applyBorder="1" applyAlignment="1" applyProtection="1">
      <alignment horizontal="left" vertical="center"/>
      <protection hidden="1"/>
    </xf>
    <xf numFmtId="0" fontId="24" fillId="18" borderId="59" xfId="10" applyFont="1" applyFill="1" applyBorder="1" applyAlignment="1" applyProtection="1">
      <alignment vertical="center" wrapText="1"/>
      <protection hidden="1"/>
    </xf>
    <xf numFmtId="0" fontId="25" fillId="18" borderId="59" xfId="10" applyFont="1" applyFill="1" applyBorder="1" applyAlignment="1" applyProtection="1">
      <alignment vertical="center"/>
      <protection hidden="1"/>
    </xf>
    <xf numFmtId="39" fontId="23" fillId="18" borderId="59" xfId="4" applyFont="1" applyFill="1" applyBorder="1" applyAlignment="1">
      <alignment vertical="center"/>
    </xf>
    <xf numFmtId="0" fontId="25" fillId="18" borderId="60" xfId="10" applyFont="1" applyFill="1" applyBorder="1" applyAlignment="1" applyProtection="1">
      <alignment horizontal="right" vertical="center"/>
      <protection hidden="1"/>
    </xf>
    <xf numFmtId="0" fontId="24" fillId="18" borderId="61" xfId="10" applyFont="1" applyFill="1" applyBorder="1" applyAlignment="1" applyProtection="1">
      <alignment horizontal="left" vertical="center"/>
      <protection hidden="1"/>
    </xf>
    <xf numFmtId="0" fontId="24" fillId="18" borderId="0" xfId="10" applyFont="1" applyFill="1" applyAlignment="1" applyProtection="1">
      <alignment vertical="center" wrapText="1"/>
      <protection hidden="1"/>
    </xf>
    <xf numFmtId="0" fontId="25" fillId="18" borderId="0" xfId="10" applyFont="1" applyFill="1" applyAlignment="1" applyProtection="1">
      <alignment vertical="center"/>
      <protection hidden="1"/>
    </xf>
    <xf numFmtId="39" fontId="23" fillId="18" borderId="62" xfId="4" applyFont="1" applyFill="1" applyBorder="1" applyAlignment="1">
      <alignment vertical="center"/>
    </xf>
    <xf numFmtId="0" fontId="24" fillId="18" borderId="63" xfId="10" applyFont="1" applyFill="1" applyBorder="1" applyAlignment="1" applyProtection="1">
      <alignment horizontal="left" vertical="center"/>
      <protection hidden="1"/>
    </xf>
    <xf numFmtId="0" fontId="24" fillId="18" borderId="64" xfId="10" applyFont="1" applyFill="1" applyBorder="1" applyAlignment="1" applyProtection="1">
      <alignment vertical="center" wrapText="1"/>
      <protection hidden="1"/>
    </xf>
    <xf numFmtId="0" fontId="25" fillId="18" borderId="64" xfId="10" applyFont="1" applyFill="1" applyBorder="1" applyAlignment="1" applyProtection="1">
      <alignment horizontal="center" vertical="center"/>
      <protection hidden="1"/>
    </xf>
    <xf numFmtId="39" fontId="23" fillId="18" borderId="64" xfId="4" applyFont="1" applyFill="1" applyBorder="1" applyAlignment="1">
      <alignment vertical="center"/>
    </xf>
    <xf numFmtId="0" fontId="25" fillId="18" borderId="65" xfId="10" applyFont="1" applyFill="1" applyBorder="1" applyAlignment="1" applyProtection="1">
      <alignment horizontal="right" vertical="center"/>
      <protection hidden="1"/>
    </xf>
    <xf numFmtId="39" fontId="25" fillId="18" borderId="0" xfId="4" applyFont="1" applyFill="1" applyAlignment="1">
      <alignment vertical="center"/>
    </xf>
    <xf numFmtId="39" fontId="25" fillId="0" borderId="4" xfId="4" applyFont="1" applyBorder="1" applyAlignment="1">
      <alignment horizontal="center" vertical="center" wrapText="1"/>
    </xf>
    <xf numFmtId="39" fontId="25" fillId="18" borderId="0" xfId="4" applyFont="1" applyFill="1" applyAlignment="1">
      <alignment horizontal="center" vertical="center" wrapText="1"/>
    </xf>
    <xf numFmtId="39" fontId="23" fillId="0" borderId="78" xfId="4" applyFont="1" applyBorder="1" applyAlignment="1">
      <alignment vertical="center"/>
    </xf>
    <xf numFmtId="39" fontId="23" fillId="0" borderId="17" xfId="4" applyFont="1" applyBorder="1" applyAlignment="1">
      <alignment horizontal="center" vertical="center"/>
    </xf>
    <xf numFmtId="168" fontId="23" fillId="18" borderId="18" xfId="4" applyNumberFormat="1" applyFont="1" applyFill="1" applyBorder="1" applyAlignment="1">
      <alignment vertical="center"/>
    </xf>
    <xf numFmtId="10" fontId="27" fillId="0" borderId="18" xfId="9" applyNumberFormat="1" applyFont="1" applyBorder="1" applyAlignment="1">
      <alignment vertical="center"/>
    </xf>
    <xf numFmtId="44" fontId="28" fillId="0" borderId="18" xfId="16" applyFont="1" applyBorder="1" applyAlignment="1">
      <alignment vertical="center"/>
    </xf>
    <xf numFmtId="44" fontId="23" fillId="9" borderId="16" xfId="16" applyFont="1" applyFill="1" applyBorder="1" applyAlignment="1">
      <alignment vertical="center"/>
    </xf>
    <xf numFmtId="44" fontId="23" fillId="0" borderId="18" xfId="16" applyFont="1" applyBorder="1" applyAlignment="1">
      <alignment vertical="center"/>
    </xf>
    <xf numFmtId="39" fontId="23" fillId="0" borderId="18" xfId="4" applyFont="1" applyBorder="1" applyAlignment="1">
      <alignment vertical="center"/>
    </xf>
    <xf numFmtId="44" fontId="23" fillId="9" borderId="18" xfId="16" applyFont="1" applyFill="1" applyBorder="1" applyAlignment="1">
      <alignment vertical="center"/>
    </xf>
    <xf numFmtId="44" fontId="23" fillId="0" borderId="79" xfId="16" applyFont="1" applyBorder="1" applyAlignment="1">
      <alignment vertical="center"/>
    </xf>
    <xf numFmtId="170" fontId="29" fillId="0" borderId="0" xfId="4" applyNumberFormat="1" applyFont="1" applyAlignment="1">
      <alignment horizontal="center" vertical="center"/>
    </xf>
    <xf numFmtId="190" fontId="26" fillId="0" borderId="0" xfId="4" applyNumberFormat="1" applyFont="1" applyAlignment="1">
      <alignment horizontal="center" vertical="center"/>
    </xf>
    <xf numFmtId="39" fontId="23" fillId="0" borderId="80" xfId="4" applyFont="1" applyBorder="1" applyAlignment="1">
      <alignment vertical="center"/>
    </xf>
    <xf numFmtId="39" fontId="23" fillId="0" borderId="20" xfId="4" applyFont="1" applyBorder="1" applyAlignment="1">
      <alignment horizontal="center" vertical="center"/>
    </xf>
    <xf numFmtId="168" fontId="23" fillId="18" borderId="21" xfId="4" applyNumberFormat="1" applyFont="1" applyFill="1" applyBorder="1" applyAlignment="1">
      <alignment vertical="center"/>
    </xf>
    <xf numFmtId="10" fontId="23" fillId="0" borderId="21" xfId="9" applyNumberFormat="1" applyFont="1" applyBorder="1" applyAlignment="1">
      <alignment vertical="center"/>
    </xf>
    <xf numFmtId="44" fontId="28" fillId="0" borderId="21" xfId="16" applyFont="1" applyBorder="1" applyAlignment="1">
      <alignment vertical="center"/>
    </xf>
    <xf numFmtId="44" fontId="23" fillId="9" borderId="19" xfId="16" applyFont="1" applyFill="1" applyBorder="1" applyAlignment="1">
      <alignment vertical="center"/>
    </xf>
    <xf numFmtId="44" fontId="23" fillId="0" borderId="21" xfId="16" applyFont="1" applyBorder="1" applyAlignment="1">
      <alignment vertical="center"/>
    </xf>
    <xf numFmtId="39" fontId="23" fillId="0" borderId="21" xfId="4" applyFont="1" applyBorder="1" applyAlignment="1">
      <alignment vertical="center"/>
    </xf>
    <xf numFmtId="44" fontId="23" fillId="9" borderId="21" xfId="16" applyFont="1" applyFill="1" applyBorder="1" applyAlignment="1">
      <alignment vertical="center"/>
    </xf>
    <xf numFmtId="44" fontId="23" fillId="0" borderId="81" xfId="16" applyFont="1" applyBorder="1" applyAlignment="1">
      <alignment vertical="center"/>
    </xf>
    <xf numFmtId="39" fontId="23" fillId="0" borderId="77" xfId="4" applyFont="1" applyBorder="1" applyAlignment="1">
      <alignment vertical="center"/>
    </xf>
    <xf numFmtId="39" fontId="23" fillId="0" borderId="9" xfId="4" applyFont="1" applyBorder="1" applyAlignment="1">
      <alignment horizontal="center" vertical="center"/>
    </xf>
    <xf numFmtId="168" fontId="23" fillId="18" borderId="8" xfId="4" applyNumberFormat="1" applyFont="1" applyFill="1" applyBorder="1" applyAlignment="1">
      <alignment vertical="center"/>
    </xf>
    <xf numFmtId="10" fontId="23" fillId="0" borderId="8" xfId="9" applyNumberFormat="1" applyFont="1" applyBorder="1" applyAlignment="1">
      <alignment vertical="center"/>
    </xf>
    <xf numFmtId="44" fontId="28" fillId="0" borderId="8" xfId="16" applyFont="1" applyBorder="1" applyAlignment="1">
      <alignment vertical="center"/>
    </xf>
    <xf numFmtId="44" fontId="23" fillId="9" borderId="3" xfId="16" applyFont="1" applyFill="1" applyBorder="1" applyAlignment="1">
      <alignment vertical="center"/>
    </xf>
    <xf numFmtId="44" fontId="23" fillId="0" borderId="8" xfId="16" applyFont="1" applyBorder="1" applyAlignment="1">
      <alignment vertical="center"/>
    </xf>
    <xf numFmtId="39" fontId="23" fillId="0" borderId="8" xfId="4" applyFont="1" applyBorder="1" applyAlignment="1">
      <alignment vertical="center"/>
    </xf>
    <xf numFmtId="44" fontId="23" fillId="9" borderId="8" xfId="16" applyFont="1" applyFill="1" applyBorder="1" applyAlignment="1">
      <alignment vertical="center"/>
    </xf>
    <xf numFmtId="44" fontId="23" fillId="0" borderId="74" xfId="16" applyFont="1" applyBorder="1" applyAlignment="1">
      <alignment vertical="center"/>
    </xf>
    <xf numFmtId="39" fontId="23" fillId="18" borderId="72" xfId="4" applyFont="1" applyFill="1" applyBorder="1" applyAlignment="1">
      <alignment vertical="center"/>
    </xf>
    <xf numFmtId="39" fontId="23" fillId="18" borderId="5" xfId="4" applyFont="1" applyFill="1" applyBorder="1" applyAlignment="1">
      <alignment horizontal="center" vertical="center"/>
    </xf>
    <xf numFmtId="168" fontId="23" fillId="18" borderId="0" xfId="4" applyNumberFormat="1" applyFont="1" applyFill="1" applyAlignment="1">
      <alignment vertical="center"/>
    </xf>
    <xf numFmtId="10" fontId="23" fillId="18" borderId="5" xfId="9" applyNumberFormat="1" applyFont="1" applyFill="1" applyBorder="1" applyAlignment="1">
      <alignment vertical="center"/>
    </xf>
    <xf numFmtId="44" fontId="28" fillId="18" borderId="5" xfId="16" applyFont="1" applyFill="1" applyBorder="1" applyAlignment="1">
      <alignment vertical="center"/>
    </xf>
    <xf numFmtId="44" fontId="23" fillId="18" borderId="5" xfId="16" applyFont="1" applyFill="1" applyBorder="1" applyAlignment="1">
      <alignment vertical="center"/>
    </xf>
    <xf numFmtId="44" fontId="23" fillId="18" borderId="73" xfId="16" applyFont="1" applyFill="1" applyBorder="1" applyAlignment="1">
      <alignment vertical="center"/>
    </xf>
    <xf numFmtId="10" fontId="23" fillId="0" borderId="18" xfId="9" applyNumberFormat="1" applyFont="1" applyBorder="1" applyAlignment="1">
      <alignment vertical="center"/>
    </xf>
    <xf numFmtId="10" fontId="23" fillId="0" borderId="0" xfId="9" applyNumberFormat="1" applyFont="1" applyAlignment="1">
      <alignment vertical="center"/>
    </xf>
    <xf numFmtId="39" fontId="23" fillId="0" borderId="82" xfId="4" applyFont="1" applyBorder="1" applyAlignment="1">
      <alignment vertical="center"/>
    </xf>
    <xf numFmtId="39" fontId="23" fillId="0" borderId="70" xfId="4" applyFont="1" applyBorder="1" applyAlignment="1">
      <alignment vertical="center"/>
    </xf>
    <xf numFmtId="39" fontId="23" fillId="0" borderId="18" xfId="4" applyFont="1" applyBorder="1" applyAlignment="1">
      <alignment horizontal="center" vertical="center"/>
    </xf>
    <xf numFmtId="39" fontId="23" fillId="0" borderId="83" xfId="4" applyFont="1" applyBorder="1" applyAlignment="1">
      <alignment vertical="center"/>
    </xf>
    <xf numFmtId="39" fontId="23" fillId="0" borderId="84" xfId="4" applyFont="1" applyBorder="1" applyAlignment="1">
      <alignment horizontal="center" vertical="center"/>
    </xf>
    <xf numFmtId="10" fontId="23" fillId="0" borderId="82" xfId="9" applyNumberFormat="1" applyFont="1" applyBorder="1" applyAlignment="1">
      <alignment vertical="center"/>
    </xf>
    <xf numFmtId="44" fontId="23" fillId="9" borderId="22" xfId="16" applyFont="1" applyFill="1" applyBorder="1" applyAlignment="1">
      <alignment vertical="center"/>
    </xf>
    <xf numFmtId="44" fontId="23" fillId="0" borderId="82" xfId="16" applyFont="1" applyBorder="1" applyAlignment="1">
      <alignment vertical="center"/>
    </xf>
    <xf numFmtId="44" fontId="23" fillId="0" borderId="85" xfId="16" applyFont="1" applyBorder="1" applyAlignment="1">
      <alignment vertical="center"/>
    </xf>
    <xf numFmtId="39" fontId="23" fillId="0" borderId="86" xfId="4" applyFont="1" applyBorder="1" applyAlignment="1">
      <alignment vertical="center"/>
    </xf>
    <xf numFmtId="39" fontId="23" fillId="0" borderId="64" xfId="4" applyFont="1" applyBorder="1" applyAlignment="1">
      <alignment horizontal="center" vertical="center"/>
    </xf>
    <xf numFmtId="168" fontId="23" fillId="18" borderId="87" xfId="4" applyNumberFormat="1" applyFont="1" applyFill="1" applyBorder="1" applyAlignment="1">
      <alignment vertical="center"/>
    </xf>
    <xf numFmtId="10" fontId="23" fillId="0" borderId="87" xfId="9" applyNumberFormat="1" applyFont="1" applyBorder="1" applyAlignment="1">
      <alignment vertical="center"/>
    </xf>
    <xf numFmtId="44" fontId="28" fillId="0" borderId="87" xfId="16" applyFont="1" applyBorder="1" applyAlignment="1">
      <alignment vertical="center"/>
    </xf>
    <xf numFmtId="44" fontId="23" fillId="9" borderId="88" xfId="16" applyFont="1" applyFill="1" applyBorder="1" applyAlignment="1">
      <alignment vertical="center"/>
    </xf>
    <xf numFmtId="44" fontId="23" fillId="0" borderId="87" xfId="16" applyFont="1" applyBorder="1" applyAlignment="1">
      <alignment vertical="center"/>
    </xf>
    <xf numFmtId="39" fontId="23" fillId="0" borderId="87" xfId="4" applyFont="1" applyBorder="1" applyAlignment="1">
      <alignment vertical="center"/>
    </xf>
    <xf numFmtId="44" fontId="23" fillId="9" borderId="87" xfId="16" applyFont="1" applyFill="1" applyBorder="1" applyAlignment="1">
      <alignment vertical="center"/>
    </xf>
    <xf numFmtId="44" fontId="23" fillId="0" borderId="89" xfId="16" applyFont="1" applyBorder="1" applyAlignment="1">
      <alignment vertical="center"/>
    </xf>
    <xf numFmtId="0" fontId="23" fillId="0" borderId="68" xfId="12" applyFont="1" applyBorder="1" applyAlignment="1">
      <alignment horizontal="center" vertical="center" wrapText="1"/>
    </xf>
    <xf numFmtId="39" fontId="23" fillId="0" borderId="1" xfId="4" applyFont="1" applyBorder="1" applyAlignment="1">
      <alignment horizontal="center" vertical="center"/>
    </xf>
    <xf numFmtId="191" fontId="23" fillId="0" borderId="1" xfId="4" applyNumberFormat="1" applyFont="1" applyBorder="1" applyAlignment="1">
      <alignment horizontal="right" vertical="center"/>
    </xf>
    <xf numFmtId="44" fontId="23" fillId="0" borderId="1" xfId="16" applyFont="1" applyBorder="1" applyAlignment="1">
      <alignment vertical="center"/>
    </xf>
    <xf numFmtId="192" fontId="23" fillId="0" borderId="1" xfId="16" applyNumberFormat="1" applyFont="1" applyBorder="1" applyAlignment="1">
      <alignment vertical="center"/>
    </xf>
    <xf numFmtId="0" fontId="23" fillId="18" borderId="61" xfId="12" applyFont="1" applyFill="1" applyBorder="1" applyAlignment="1">
      <alignment horizontal="center" vertical="center" wrapText="1"/>
    </xf>
    <xf numFmtId="39" fontId="23" fillId="18" borderId="24" xfId="4" applyFont="1" applyFill="1" applyBorder="1" applyAlignment="1">
      <alignment vertical="center"/>
    </xf>
    <xf numFmtId="39" fontId="23" fillId="18" borderId="24" xfId="4" applyFont="1" applyFill="1" applyBorder="1" applyAlignment="1">
      <alignment horizontal="right" vertical="center"/>
    </xf>
    <xf numFmtId="39" fontId="23" fillId="18" borderId="95" xfId="4" applyFont="1" applyFill="1" applyBorder="1" applyAlignment="1">
      <alignment vertical="center"/>
    </xf>
    <xf numFmtId="0" fontId="23" fillId="0" borderId="96" xfId="12" applyFont="1" applyBorder="1" applyAlignment="1">
      <alignment horizontal="center" vertical="center" wrapText="1"/>
    </xf>
    <xf numFmtId="39" fontId="23" fillId="0" borderId="97" xfId="4" applyFont="1" applyBorder="1" applyAlignment="1">
      <alignment horizontal="center" vertical="center"/>
    </xf>
    <xf numFmtId="191" fontId="23" fillId="0" borderId="97" xfId="4" applyNumberFormat="1" applyFont="1" applyBorder="1" applyAlignment="1">
      <alignment horizontal="right" vertical="center"/>
    </xf>
    <xf numFmtId="44" fontId="23" fillId="0" borderId="97" xfId="16" applyFont="1" applyBorder="1" applyAlignment="1">
      <alignment vertical="center"/>
    </xf>
    <xf numFmtId="192" fontId="23" fillId="0" borderId="97" xfId="16" applyNumberFormat="1" applyFont="1" applyBorder="1" applyAlignment="1">
      <alignment vertical="center"/>
    </xf>
    <xf numFmtId="0" fontId="24" fillId="18" borderId="58" xfId="12" applyFont="1" applyFill="1" applyBorder="1" applyAlignment="1">
      <alignment horizontal="left" vertical="center" wrapText="1"/>
    </xf>
    <xf numFmtId="39" fontId="23" fillId="18" borderId="60" xfId="4" applyFont="1" applyFill="1" applyBorder="1" applyAlignment="1">
      <alignment vertical="center"/>
    </xf>
    <xf numFmtId="39" fontId="30" fillId="18" borderId="61" xfId="4" applyFont="1" applyFill="1" applyBorder="1" applyAlignment="1">
      <alignment vertical="center"/>
    </xf>
    <xf numFmtId="39" fontId="24" fillId="18" borderId="0" xfId="4" applyFont="1" applyFill="1" applyAlignment="1">
      <alignment horizontal="right" vertical="center"/>
    </xf>
    <xf numFmtId="168" fontId="24" fillId="18" borderId="0" xfId="4" applyNumberFormat="1" applyFont="1" applyFill="1" applyAlignment="1">
      <alignment horizontal="right" vertical="center"/>
    </xf>
    <xf numFmtId="169" fontId="30" fillId="18" borderId="1" xfId="4" applyNumberFormat="1" applyFont="1" applyFill="1" applyBorder="1" applyAlignment="1">
      <alignment horizontal="center" vertical="center"/>
    </xf>
    <xf numFmtId="168" fontId="23" fillId="18" borderId="69" xfId="4" applyNumberFormat="1" applyFont="1" applyFill="1" applyBorder="1" applyAlignment="1">
      <alignment horizontal="center" vertical="center"/>
    </xf>
    <xf numFmtId="39" fontId="30" fillId="18" borderId="63" xfId="4" applyFont="1" applyFill="1" applyBorder="1" applyAlignment="1">
      <alignment vertical="center"/>
    </xf>
    <xf numFmtId="168" fontId="23" fillId="0" borderId="0" xfId="4" applyNumberFormat="1" applyFont="1" applyAlignment="1">
      <alignment horizontal="center" vertical="center"/>
    </xf>
    <xf numFmtId="10" fontId="23" fillId="0" borderId="0" xfId="9" applyNumberFormat="1" applyFont="1" applyBorder="1" applyAlignment="1">
      <alignment horizontal="center" vertical="center"/>
    </xf>
    <xf numFmtId="170" fontId="23" fillId="0" borderId="0" xfId="4" applyNumberFormat="1" applyFont="1" applyAlignment="1">
      <alignment vertical="center"/>
    </xf>
    <xf numFmtId="193" fontId="23" fillId="0" borderId="0" xfId="4" applyNumberFormat="1" applyFont="1" applyAlignment="1">
      <alignment vertical="center"/>
    </xf>
    <xf numFmtId="39" fontId="23" fillId="0" borderId="0" xfId="4" quotePrefix="1" applyFont="1" applyAlignment="1">
      <alignment vertical="center"/>
    </xf>
    <xf numFmtId="0" fontId="31" fillId="0" borderId="0" xfId="5" applyFont="1"/>
    <xf numFmtId="10" fontId="24" fillId="0" borderId="0" xfId="9" applyNumberFormat="1" applyFont="1" applyFill="1" applyBorder="1" applyAlignment="1" applyProtection="1">
      <alignment horizontal="center" vertical="center"/>
      <protection hidden="1"/>
    </xf>
    <xf numFmtId="10" fontId="24" fillId="0" borderId="62" xfId="9" applyNumberFormat="1" applyFont="1" applyFill="1" applyBorder="1" applyAlignment="1" applyProtection="1">
      <alignment horizontal="center" vertical="center"/>
      <protection hidden="1"/>
    </xf>
    <xf numFmtId="49" fontId="24" fillId="9" borderId="103" xfId="10" applyNumberFormat="1" applyFont="1" applyFill="1" applyBorder="1" applyAlignment="1" applyProtection="1">
      <alignment horizontal="center" vertical="center"/>
      <protection hidden="1"/>
    </xf>
    <xf numFmtId="49" fontId="24" fillId="9" borderId="104" xfId="10" applyNumberFormat="1" applyFont="1" applyFill="1" applyBorder="1" applyAlignment="1" applyProtection="1">
      <alignment horizontal="center" vertical="center"/>
      <protection hidden="1"/>
    </xf>
    <xf numFmtId="10" fontId="24" fillId="9" borderId="104" xfId="9" applyNumberFormat="1" applyFont="1" applyFill="1" applyBorder="1" applyAlignment="1" applyProtection="1">
      <alignment horizontal="center" vertical="center"/>
      <protection hidden="1"/>
    </xf>
    <xf numFmtId="10" fontId="24" fillId="9" borderId="99" xfId="9" applyNumberFormat="1" applyFont="1" applyFill="1" applyBorder="1" applyAlignment="1" applyProtection="1">
      <alignment horizontal="center" vertical="center"/>
      <protection hidden="1"/>
    </xf>
    <xf numFmtId="49" fontId="24" fillId="9" borderId="104" xfId="10" applyNumberFormat="1" applyFont="1" applyFill="1" applyBorder="1" applyAlignment="1" applyProtection="1">
      <alignment horizontal="right" vertical="center"/>
      <protection hidden="1"/>
    </xf>
    <xf numFmtId="10" fontId="24" fillId="9" borderId="98" xfId="9" applyNumberFormat="1" applyFont="1" applyFill="1" applyBorder="1" applyAlignment="1" applyProtection="1">
      <alignment horizontal="center" vertical="center"/>
      <protection hidden="1"/>
    </xf>
    <xf numFmtId="17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63" xfId="10" applyFont="1" applyBorder="1" applyAlignment="1" applyProtection="1">
      <alignment vertical="center"/>
      <protection hidden="1"/>
    </xf>
    <xf numFmtId="0" fontId="24" fillId="0" borderId="64" xfId="10" applyFont="1" applyBorder="1" applyAlignment="1" applyProtection="1">
      <alignment vertical="center"/>
      <protection hidden="1"/>
    </xf>
    <xf numFmtId="0" fontId="24" fillId="0" borderId="65" xfId="10" applyFont="1" applyBorder="1" applyAlignment="1" applyProtection="1">
      <alignment horizontal="right" vertical="center"/>
      <protection hidden="1"/>
    </xf>
    <xf numFmtId="39" fontId="27" fillId="0" borderId="18" xfId="4" applyFont="1" applyBorder="1" applyAlignment="1">
      <alignment vertical="center"/>
    </xf>
    <xf numFmtId="39" fontId="27" fillId="0" borderId="21" xfId="4" applyFont="1" applyBorder="1" applyAlignment="1">
      <alignment vertical="center"/>
    </xf>
    <xf numFmtId="39" fontId="27" fillId="0" borderId="8" xfId="4" applyFont="1" applyBorder="1" applyAlignment="1">
      <alignment vertical="center"/>
    </xf>
    <xf numFmtId="39" fontId="27" fillId="0" borderId="82" xfId="4" applyFont="1" applyBorder="1" applyAlignment="1">
      <alignment vertical="center"/>
    </xf>
    <xf numFmtId="169" fontId="32" fillId="18" borderId="1" xfId="4" applyNumberFormat="1" applyFont="1" applyFill="1" applyBorder="1" applyAlignment="1">
      <alignment horizontal="center" vertical="center"/>
    </xf>
    <xf numFmtId="168" fontId="26" fillId="18" borderId="69" xfId="4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169" fontId="25" fillId="18" borderId="1" xfId="4" applyNumberFormat="1" applyFont="1" applyFill="1" applyBorder="1" applyAlignment="1">
      <alignment horizontal="center" vertical="center"/>
    </xf>
    <xf numFmtId="168" fontId="24" fillId="18" borderId="69" xfId="4" applyNumberFormat="1" applyFont="1" applyFill="1" applyBorder="1" applyAlignment="1">
      <alignment horizontal="center" vertical="center"/>
    </xf>
    <xf numFmtId="0" fontId="33" fillId="18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10" fontId="35" fillId="0" borderId="0" xfId="3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6" fillId="6" borderId="7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vertical="center"/>
    </xf>
    <xf numFmtId="166" fontId="34" fillId="7" borderId="4" xfId="0" applyNumberFormat="1" applyFont="1" applyFill="1" applyBorder="1" applyAlignment="1">
      <alignment horizontal="right" vertical="center"/>
    </xf>
    <xf numFmtId="0" fontId="34" fillId="7" borderId="5" xfId="0" applyFont="1" applyFill="1" applyBorder="1" applyAlignment="1">
      <alignment vertical="center"/>
    </xf>
    <xf numFmtId="10" fontId="35" fillId="7" borderId="5" xfId="3" applyNumberFormat="1" applyFont="1" applyFill="1" applyBorder="1" applyAlignment="1">
      <alignment vertical="center"/>
    </xf>
    <xf numFmtId="0" fontId="34" fillId="7" borderId="6" xfId="0" applyFont="1" applyFill="1" applyBorder="1" applyAlignment="1">
      <alignment vertical="center"/>
    </xf>
    <xf numFmtId="176" fontId="33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/>
    </xf>
    <xf numFmtId="165" fontId="38" fillId="0" borderId="3" xfId="0" applyNumberFormat="1" applyFont="1" applyBorder="1" applyAlignment="1">
      <alignment horizontal="right" vertical="center"/>
    </xf>
    <xf numFmtId="164" fontId="33" fillId="0" borderId="3" xfId="2" applyFont="1" applyBorder="1" applyAlignment="1">
      <alignment vertical="center"/>
    </xf>
    <xf numFmtId="164" fontId="33" fillId="0" borderId="3" xfId="0" applyNumberFormat="1" applyFont="1" applyBorder="1" applyAlignment="1">
      <alignment vertical="center"/>
    </xf>
    <xf numFmtId="10" fontId="33" fillId="0" borderId="0" xfId="3" applyNumberFormat="1" applyFont="1" applyAlignment="1">
      <alignment vertical="center"/>
    </xf>
    <xf numFmtId="165" fontId="39" fillId="0" borderId="0" xfId="0" applyNumberFormat="1" applyFont="1" applyAlignment="1">
      <alignment vertical="center"/>
    </xf>
    <xf numFmtId="165" fontId="33" fillId="0" borderId="0" xfId="0" applyNumberFormat="1" applyFont="1" applyAlignment="1">
      <alignment vertical="center"/>
    </xf>
    <xf numFmtId="10" fontId="36" fillId="18" borderId="0" xfId="3" applyNumberFormat="1" applyFont="1" applyFill="1" applyAlignment="1">
      <alignment vertical="center"/>
    </xf>
    <xf numFmtId="167" fontId="37" fillId="18" borderId="0" xfId="0" applyNumberFormat="1" applyFont="1" applyFill="1" applyAlignment="1">
      <alignment vertical="center"/>
    </xf>
    <xf numFmtId="165" fontId="37" fillId="0" borderId="0" xfId="0" applyNumberFormat="1" applyFont="1" applyAlignment="1">
      <alignment vertical="center"/>
    </xf>
    <xf numFmtId="2" fontId="33" fillId="0" borderId="0" xfId="0" applyNumberFormat="1" applyFont="1" applyAlignment="1">
      <alignment vertical="center"/>
    </xf>
    <xf numFmtId="171" fontId="37" fillId="0" borderId="0" xfId="0" applyNumberFormat="1" applyFont="1" applyAlignment="1">
      <alignment vertical="center"/>
    </xf>
    <xf numFmtId="0" fontId="33" fillId="0" borderId="4" xfId="0" applyFont="1" applyBorder="1" applyAlignment="1">
      <alignment vertical="center"/>
    </xf>
    <xf numFmtId="0" fontId="33" fillId="0" borderId="5" xfId="0" applyFont="1" applyBorder="1" applyAlignment="1">
      <alignment vertical="center" wrapText="1"/>
    </xf>
    <xf numFmtId="0" fontId="33" fillId="0" borderId="5" xfId="0" applyFont="1" applyBorder="1" applyAlignment="1">
      <alignment horizontal="center" vertical="center"/>
    </xf>
    <xf numFmtId="165" fontId="33" fillId="0" borderId="5" xfId="0" applyNumberFormat="1" applyFont="1" applyBorder="1" applyAlignment="1">
      <alignment horizontal="right" vertical="center"/>
    </xf>
    <xf numFmtId="164" fontId="36" fillId="0" borderId="5" xfId="2" applyFont="1" applyBorder="1" applyAlignment="1">
      <alignment horizontal="right" vertical="center"/>
    </xf>
    <xf numFmtId="164" fontId="36" fillId="0" borderId="6" xfId="0" applyNumberFormat="1" applyFont="1" applyBorder="1" applyAlignment="1">
      <alignment vertical="center"/>
    </xf>
    <xf numFmtId="10" fontId="33" fillId="18" borderId="0" xfId="3" applyNumberFormat="1" applyFont="1" applyFill="1" applyAlignment="1">
      <alignment vertical="center"/>
    </xf>
    <xf numFmtId="0" fontId="36" fillId="5" borderId="4" xfId="0" applyFont="1" applyFill="1" applyBorder="1" applyAlignment="1">
      <alignment vertical="center"/>
    </xf>
    <xf numFmtId="0" fontId="36" fillId="5" borderId="5" xfId="0" applyFont="1" applyFill="1" applyBorder="1" applyAlignment="1">
      <alignment vertical="center"/>
    </xf>
    <xf numFmtId="164" fontId="36" fillId="5" borderId="5" xfId="2" applyFont="1" applyFill="1" applyBorder="1" applyAlignment="1">
      <alignment horizontal="right" vertical="center"/>
    </xf>
    <xf numFmtId="164" fontId="36" fillId="5" borderId="6" xfId="0" applyNumberFormat="1" applyFont="1" applyFill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18" borderId="0" xfId="0" applyNumberFormat="1" applyFont="1" applyFill="1" applyAlignment="1">
      <alignment vertical="center"/>
    </xf>
    <xf numFmtId="0" fontId="33" fillId="0" borderId="0" xfId="0" applyFont="1"/>
    <xf numFmtId="0" fontId="34" fillId="6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9" fontId="41" fillId="11" borderId="1" xfId="11" applyNumberFormat="1" applyFont="1" applyFill="1" applyBorder="1" applyAlignment="1">
      <alignment horizontal="center" vertical="center"/>
    </xf>
    <xf numFmtId="9" fontId="41" fillId="0" borderId="1" xfId="11" applyNumberFormat="1" applyFont="1" applyBorder="1" applyAlignment="1">
      <alignment horizontal="center" vertical="center"/>
    </xf>
    <xf numFmtId="9" fontId="42" fillId="10" borderId="1" xfId="11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177" fontId="25" fillId="12" borderId="5" xfId="0" applyNumberFormat="1" applyFont="1" applyFill="1" applyBorder="1" applyAlignment="1">
      <alignment horizontal="left" vertical="center"/>
    </xf>
    <xf numFmtId="0" fontId="25" fillId="12" borderId="5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vertical="center"/>
    </xf>
    <xf numFmtId="177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178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2" fontId="27" fillId="6" borderId="3" xfId="0" applyNumberFormat="1" applyFont="1" applyFill="1" applyBorder="1" applyAlignment="1">
      <alignment horizontal="right" vertical="center"/>
    </xf>
    <xf numFmtId="2" fontId="23" fillId="0" borderId="3" xfId="0" applyNumberFormat="1" applyFont="1" applyBorder="1" applyAlignment="1">
      <alignment horizontal="center" vertical="center"/>
    </xf>
    <xf numFmtId="173" fontId="23" fillId="0" borderId="3" xfId="0" applyNumberFormat="1" applyFont="1" applyBorder="1" applyAlignment="1">
      <alignment horizontal="center" vertical="center"/>
    </xf>
    <xf numFmtId="185" fontId="27" fillId="0" borderId="3" xfId="0" applyNumberFormat="1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vertical="center"/>
    </xf>
    <xf numFmtId="178" fontId="23" fillId="0" borderId="9" xfId="0" applyNumberFormat="1" applyFont="1" applyBorder="1" applyAlignment="1">
      <alignment horizontal="center" vertical="center"/>
    </xf>
    <xf numFmtId="177" fontId="23" fillId="0" borderId="5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30" fillId="9" borderId="5" xfId="0" applyFont="1" applyFill="1" applyBorder="1" applyAlignment="1">
      <alignment vertical="center"/>
    </xf>
    <xf numFmtId="178" fontId="30" fillId="9" borderId="5" xfId="0" applyNumberFormat="1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right" vertical="center"/>
    </xf>
    <xf numFmtId="0" fontId="25" fillId="9" borderId="5" xfId="0" applyFont="1" applyFill="1" applyBorder="1" applyAlignment="1">
      <alignment horizontal="center" vertical="center"/>
    </xf>
    <xf numFmtId="178" fontId="25" fillId="9" borderId="5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178" fontId="23" fillId="0" borderId="1" xfId="0" applyNumberFormat="1" applyFont="1" applyBorder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33" fillId="0" borderId="0" xfId="8" applyFont="1" applyAlignment="1">
      <alignment vertical="center"/>
    </xf>
    <xf numFmtId="0" fontId="33" fillId="0" borderId="0" xfId="8" applyFont="1" applyAlignment="1">
      <alignment horizontal="left" vertical="center"/>
    </xf>
    <xf numFmtId="0" fontId="34" fillId="6" borderId="2" xfId="8" applyFont="1" applyFill="1" applyBorder="1" applyAlignment="1">
      <alignment horizontal="center" vertical="center"/>
    </xf>
    <xf numFmtId="0" fontId="34" fillId="7" borderId="24" xfId="8" applyFont="1" applyFill="1" applyBorder="1" applyAlignment="1">
      <alignment vertical="center"/>
    </xf>
    <xf numFmtId="0" fontId="36" fillId="9" borderId="5" xfId="8" applyFont="1" applyFill="1" applyBorder="1" applyAlignment="1">
      <alignment horizontal="left" vertical="center"/>
    </xf>
    <xf numFmtId="0" fontId="36" fillId="9" borderId="5" xfId="8" applyFont="1" applyFill="1" applyBorder="1" applyAlignment="1">
      <alignment horizontal="center" vertical="center"/>
    </xf>
    <xf numFmtId="0" fontId="33" fillId="0" borderId="3" xfId="8" applyFont="1" applyBorder="1" applyAlignment="1">
      <alignment horizontal="center" vertical="center"/>
    </xf>
    <xf numFmtId="0" fontId="33" fillId="0" borderId="3" xfId="8" applyFont="1" applyBorder="1" applyAlignment="1">
      <alignment horizontal="left" vertical="center"/>
    </xf>
    <xf numFmtId="182" fontId="38" fillId="0" borderId="3" xfId="8" applyNumberFormat="1" applyFont="1" applyBorder="1" applyAlignment="1">
      <alignment horizontal="center" vertical="center"/>
    </xf>
    <xf numFmtId="183" fontId="33" fillId="0" borderId="3" xfId="8" applyNumberFormat="1" applyFont="1" applyBorder="1" applyAlignment="1">
      <alignment horizontal="center" vertical="center"/>
    </xf>
    <xf numFmtId="43" fontId="37" fillId="0" borderId="3" xfId="8" applyNumberFormat="1" applyFont="1" applyBorder="1" applyAlignment="1">
      <alignment horizontal="center" vertical="center"/>
    </xf>
    <xf numFmtId="0" fontId="33" fillId="0" borderId="1" xfId="8" applyFont="1" applyBorder="1" applyAlignment="1">
      <alignment horizontal="center" vertical="center"/>
    </xf>
    <xf numFmtId="0" fontId="33" fillId="0" borderId="1" xfId="8" applyFont="1" applyBorder="1" applyAlignment="1">
      <alignment horizontal="left" vertical="center"/>
    </xf>
    <xf numFmtId="182" fontId="33" fillId="0" borderId="1" xfId="8" applyNumberFormat="1" applyFont="1" applyBorder="1" applyAlignment="1">
      <alignment horizontal="center" vertical="center"/>
    </xf>
    <xf numFmtId="183" fontId="33" fillId="0" borderId="1" xfId="8" applyNumberFormat="1" applyFont="1" applyBorder="1" applyAlignment="1">
      <alignment horizontal="center" vertical="center"/>
    </xf>
    <xf numFmtId="43" fontId="37" fillId="0" borderId="1" xfId="8" applyNumberFormat="1" applyFont="1" applyBorder="1" applyAlignment="1">
      <alignment horizontal="center" vertical="center"/>
    </xf>
    <xf numFmtId="0" fontId="34" fillId="0" borderId="5" xfId="8" applyFont="1" applyBorder="1" applyAlignment="1">
      <alignment vertical="center"/>
    </xf>
    <xf numFmtId="0" fontId="34" fillId="0" borderId="5" xfId="8" applyFont="1" applyBorder="1" applyAlignment="1">
      <alignment horizontal="left" vertical="center"/>
    </xf>
    <xf numFmtId="0" fontId="34" fillId="0" borderId="5" xfId="8" applyFont="1" applyBorder="1" applyAlignment="1">
      <alignment horizontal="right" vertical="center"/>
    </xf>
    <xf numFmtId="0" fontId="34" fillId="7" borderId="5" xfId="8" applyFont="1" applyFill="1" applyBorder="1" applyAlignment="1">
      <alignment vertical="center"/>
    </xf>
    <xf numFmtId="0" fontId="40" fillId="0" borderId="5" xfId="8" applyFont="1" applyBorder="1" applyAlignment="1">
      <alignment horizontal="center" vertical="center"/>
    </xf>
    <xf numFmtId="0" fontId="40" fillId="0" borderId="5" xfId="8" applyFont="1" applyBorder="1" applyAlignment="1">
      <alignment horizontal="left" vertical="center"/>
    </xf>
    <xf numFmtId="182" fontId="40" fillId="0" borderId="5" xfId="8" applyNumberFormat="1" applyFont="1" applyBorder="1" applyAlignment="1">
      <alignment horizontal="center" vertical="center"/>
    </xf>
    <xf numFmtId="183" fontId="40" fillId="0" borderId="5" xfId="8" applyNumberFormat="1" applyFont="1" applyBorder="1" applyAlignment="1">
      <alignment horizontal="center" vertical="center"/>
    </xf>
    <xf numFmtId="43" fontId="40" fillId="0" borderId="5" xfId="8" applyNumberFormat="1" applyFont="1" applyBorder="1" applyAlignment="1">
      <alignment horizontal="center" vertical="center"/>
    </xf>
    <xf numFmtId="43" fontId="40" fillId="0" borderId="5" xfId="8" applyNumberFormat="1" applyFont="1" applyBorder="1" applyAlignment="1">
      <alignment horizontal="right" vertical="center"/>
    </xf>
    <xf numFmtId="0" fontId="33" fillId="0" borderId="0" xfId="8" applyFont="1" applyAlignment="1">
      <alignment horizontal="center" vertical="center"/>
    </xf>
    <xf numFmtId="2" fontId="33" fillId="0" borderId="0" xfId="8" applyNumberFormat="1" applyFont="1" applyAlignment="1">
      <alignment horizontal="center" vertical="center"/>
    </xf>
    <xf numFmtId="0" fontId="33" fillId="0" borderId="0" xfId="8" applyFont="1" applyAlignment="1">
      <alignment horizontal="right" vertical="center"/>
    </xf>
    <xf numFmtId="43" fontId="33" fillId="0" borderId="0" xfId="8" applyNumberFormat="1" applyFont="1" applyAlignment="1">
      <alignment vertical="center"/>
    </xf>
    <xf numFmtId="0" fontId="23" fillId="0" borderId="50" xfId="10" applyFont="1" applyBorder="1" applyAlignment="1">
      <alignment vertical="center"/>
    </xf>
    <xf numFmtId="0" fontId="24" fillId="0" borderId="52" xfId="10" applyFont="1" applyBorder="1" applyAlignment="1">
      <alignment horizontal="center" vertical="center"/>
    </xf>
    <xf numFmtId="0" fontId="23" fillId="0" borderId="53" xfId="10" applyFont="1" applyBorder="1" applyAlignment="1">
      <alignment vertical="center"/>
    </xf>
    <xf numFmtId="0" fontId="24" fillId="0" borderId="54" xfId="10" applyFont="1" applyBorder="1" applyAlignment="1">
      <alignment horizontal="center" vertical="center"/>
    </xf>
    <xf numFmtId="0" fontId="24" fillId="16" borderId="2" xfId="10" applyFont="1" applyFill="1" applyBorder="1" applyAlignment="1">
      <alignment horizontal="center" vertical="center"/>
    </xf>
    <xf numFmtId="4" fontId="24" fillId="16" borderId="1" xfId="10" applyNumberFormat="1" applyFont="1" applyFill="1" applyBorder="1" applyAlignment="1">
      <alignment horizontal="center" vertical="center" wrapText="1"/>
    </xf>
    <xf numFmtId="4" fontId="24" fillId="16" borderId="2" xfId="10" applyNumberFormat="1" applyFont="1" applyFill="1" applyBorder="1" applyAlignment="1">
      <alignment horizontal="center" vertical="center" wrapText="1"/>
    </xf>
    <xf numFmtId="175" fontId="23" fillId="0" borderId="0" xfId="10" applyNumberFormat="1" applyFont="1" applyAlignment="1">
      <alignment vertical="center"/>
    </xf>
    <xf numFmtId="1" fontId="23" fillId="0" borderId="1" xfId="10" applyNumberFormat="1" applyFont="1" applyBorder="1" applyAlignment="1">
      <alignment horizontal="center" vertical="center"/>
    </xf>
    <xf numFmtId="0" fontId="23" fillId="0" borderId="1" xfId="10" applyFont="1" applyBorder="1" applyAlignment="1">
      <alignment vertical="center" wrapText="1"/>
    </xf>
    <xf numFmtId="0" fontId="23" fillId="0" borderId="1" xfId="10" applyFont="1" applyBorder="1" applyAlignment="1">
      <alignment horizontal="center" vertical="center"/>
    </xf>
    <xf numFmtId="4" fontId="27" fillId="0" borderId="1" xfId="10" applyNumberFormat="1" applyFont="1" applyBorder="1" applyAlignment="1">
      <alignment horizontal="center" vertical="center"/>
    </xf>
    <xf numFmtId="165" fontId="23" fillId="0" borderId="1" xfId="10" applyNumberFormat="1" applyFont="1" applyBorder="1" applyAlignment="1">
      <alignment vertical="center"/>
    </xf>
    <xf numFmtId="4" fontId="23" fillId="0" borderId="1" xfId="10" applyNumberFormat="1" applyFont="1" applyBorder="1" applyAlignment="1">
      <alignment vertical="center"/>
    </xf>
    <xf numFmtId="0" fontId="23" fillId="0" borderId="0" xfId="10" applyFont="1" applyAlignment="1">
      <alignment horizontal="right" vertical="center"/>
    </xf>
    <xf numFmtId="175" fontId="23" fillId="0" borderId="0" xfId="10" applyNumberFormat="1" applyFont="1" applyAlignment="1">
      <alignment horizontal="right" vertical="center"/>
    </xf>
    <xf numFmtId="173" fontId="23" fillId="0" borderId="0" xfId="10" applyNumberFormat="1" applyFont="1" applyAlignment="1">
      <alignment horizontal="right" vertical="center"/>
    </xf>
    <xf numFmtId="1" fontId="25" fillId="16" borderId="4" xfId="10" applyNumberFormat="1" applyFont="1" applyFill="1" applyBorder="1" applyAlignment="1">
      <alignment horizontal="left" vertical="center"/>
    </xf>
    <xf numFmtId="0" fontId="23" fillId="16" borderId="5" xfId="10" applyFont="1" applyFill="1" applyBorder="1" applyAlignment="1">
      <alignment vertical="center" wrapText="1"/>
    </xf>
    <xf numFmtId="0" fontId="23" fillId="16" borderId="5" xfId="10" applyFont="1" applyFill="1" applyBorder="1" applyAlignment="1">
      <alignment horizontal="center" vertical="center"/>
    </xf>
    <xf numFmtId="4" fontId="23" fillId="16" borderId="5" xfId="10" applyNumberFormat="1" applyFont="1" applyFill="1" applyBorder="1" applyAlignment="1">
      <alignment horizontal="center" vertical="center"/>
    </xf>
    <xf numFmtId="165" fontId="23" fillId="16" borderId="5" xfId="10" applyNumberFormat="1" applyFont="1" applyFill="1" applyBorder="1" applyAlignment="1">
      <alignment vertical="center"/>
    </xf>
    <xf numFmtId="4" fontId="23" fillId="16" borderId="6" xfId="10" applyNumberFormat="1" applyFont="1" applyFill="1" applyBorder="1" applyAlignment="1">
      <alignment vertical="center"/>
    </xf>
    <xf numFmtId="4" fontId="27" fillId="16" borderId="5" xfId="10" applyNumberFormat="1" applyFont="1" applyFill="1" applyBorder="1" applyAlignment="1">
      <alignment horizontal="center" vertical="center"/>
    </xf>
    <xf numFmtId="1" fontId="24" fillId="12" borderId="4" xfId="10" applyNumberFormat="1" applyFont="1" applyFill="1" applyBorder="1" applyAlignment="1">
      <alignment horizontal="center" vertical="center"/>
    </xf>
    <xf numFmtId="0" fontId="24" fillId="12" borderId="5" xfId="10" applyFont="1" applyFill="1" applyBorder="1" applyAlignment="1">
      <alignment vertical="center" wrapText="1"/>
    </xf>
    <xf numFmtId="0" fontId="24" fillId="12" borderId="5" xfId="10" applyFont="1" applyFill="1" applyBorder="1" applyAlignment="1">
      <alignment horizontal="center" vertical="center"/>
    </xf>
    <xf numFmtId="4" fontId="24" fillId="12" borderId="5" xfId="10" applyNumberFormat="1" applyFont="1" applyFill="1" applyBorder="1" applyAlignment="1">
      <alignment horizontal="center" vertical="center"/>
    </xf>
    <xf numFmtId="165" fontId="24" fillId="12" borderId="5" xfId="10" applyNumberFormat="1" applyFont="1" applyFill="1" applyBorder="1" applyAlignment="1">
      <alignment horizontal="right" vertical="center"/>
    </xf>
    <xf numFmtId="4" fontId="24" fillId="12" borderId="6" xfId="10" applyNumberFormat="1" applyFont="1" applyFill="1" applyBorder="1" applyAlignment="1">
      <alignment vertical="center"/>
    </xf>
    <xf numFmtId="0" fontId="25" fillId="0" borderId="4" xfId="10" applyFont="1" applyBorder="1" applyAlignment="1">
      <alignment vertical="center"/>
    </xf>
    <xf numFmtId="0" fontId="25" fillId="0" borderId="5" xfId="10" applyFont="1" applyBorder="1" applyAlignment="1">
      <alignment vertical="center"/>
    </xf>
    <xf numFmtId="4" fontId="25" fillId="0" borderId="5" xfId="10" applyNumberFormat="1" applyFont="1" applyBorder="1" applyAlignment="1">
      <alignment vertical="center"/>
    </xf>
    <xf numFmtId="0" fontId="25" fillId="0" borderId="5" xfId="10" applyFont="1" applyBorder="1" applyAlignment="1">
      <alignment horizontal="right" vertical="center"/>
    </xf>
    <xf numFmtId="165" fontId="32" fillId="0" borderId="1" xfId="10" applyNumberFormat="1" applyFont="1" applyBorder="1" applyAlignment="1">
      <alignment horizontal="center" vertical="center"/>
    </xf>
    <xf numFmtId="0" fontId="23" fillId="0" borderId="4" xfId="10" applyFont="1" applyBorder="1" applyAlignment="1">
      <alignment vertical="center"/>
    </xf>
    <xf numFmtId="0" fontId="23" fillId="0" borderId="5" xfId="10" applyFont="1" applyBorder="1" applyAlignment="1">
      <alignment vertical="center"/>
    </xf>
    <xf numFmtId="4" fontId="23" fillId="0" borderId="5" xfId="10" applyNumberFormat="1" applyFont="1" applyBorder="1" applyAlignment="1">
      <alignment vertical="center"/>
    </xf>
    <xf numFmtId="0" fontId="30" fillId="0" borderId="5" xfId="10" applyFont="1" applyBorder="1" applyAlignment="1">
      <alignment horizontal="right" vertical="center"/>
    </xf>
    <xf numFmtId="165" fontId="23" fillId="0" borderId="1" xfId="10" applyNumberFormat="1" applyFont="1" applyBorder="1" applyAlignment="1">
      <alignment horizontal="center" vertical="center"/>
    </xf>
    <xf numFmtId="165" fontId="25" fillId="0" borderId="1" xfId="10" applyNumberFormat="1" applyFont="1" applyBorder="1" applyAlignment="1">
      <alignment horizontal="center" vertical="center"/>
    </xf>
    <xf numFmtId="10" fontId="32" fillId="0" borderId="1" xfId="9" applyNumberFormat="1" applyFont="1" applyBorder="1" applyAlignment="1">
      <alignment horizontal="center" vertical="center"/>
    </xf>
    <xf numFmtId="4" fontId="32" fillId="3" borderId="1" xfId="10" applyNumberFormat="1" applyFont="1" applyFill="1" applyBorder="1" applyAlignment="1">
      <alignment horizontal="center" vertical="center"/>
    </xf>
    <xf numFmtId="0" fontId="31" fillId="0" borderId="0" xfId="5" applyFont="1" applyAlignment="1">
      <alignment vertical="center"/>
    </xf>
    <xf numFmtId="4" fontId="25" fillId="15" borderId="6" xfId="10" applyNumberFormat="1" applyFont="1" applyFill="1" applyBorder="1" applyAlignment="1">
      <alignment horizontal="right" vertical="center"/>
    </xf>
    <xf numFmtId="9" fontId="23" fillId="0" borderId="0" xfId="9" applyFont="1" applyAlignment="1">
      <alignment vertical="center"/>
    </xf>
    <xf numFmtId="4" fontId="23" fillId="0" borderId="0" xfId="10" applyNumberFormat="1" applyFont="1" applyAlignment="1">
      <alignment vertical="center"/>
    </xf>
    <xf numFmtId="0" fontId="23" fillId="0" borderId="54" xfId="10" applyFont="1" applyBorder="1" applyAlignment="1">
      <alignment vertical="center"/>
    </xf>
    <xf numFmtId="0" fontId="23" fillId="0" borderId="55" xfId="10" applyFont="1" applyBorder="1" applyAlignment="1">
      <alignment vertical="center"/>
    </xf>
    <xf numFmtId="4" fontId="25" fillId="7" borderId="6" xfId="10" applyNumberFormat="1" applyFont="1" applyFill="1" applyBorder="1" applyAlignment="1">
      <alignment horizontal="right" vertical="center"/>
    </xf>
    <xf numFmtId="0" fontId="23" fillId="0" borderId="56" xfId="10" applyFont="1" applyBorder="1" applyAlignment="1">
      <alignment vertical="center"/>
    </xf>
    <xf numFmtId="177" fontId="25" fillId="12" borderId="72" xfId="0" applyNumberFormat="1" applyFont="1" applyFill="1" applyBorder="1" applyAlignment="1">
      <alignment horizontal="right" vertical="center"/>
    </xf>
    <xf numFmtId="4" fontId="25" fillId="12" borderId="73" xfId="0" applyNumberFormat="1" applyFont="1" applyFill="1" applyBorder="1" applyAlignment="1">
      <alignment vertical="center"/>
    </xf>
    <xf numFmtId="177" fontId="23" fillId="0" borderId="77" xfId="0" applyNumberFormat="1" applyFont="1" applyBorder="1" applyAlignment="1">
      <alignment horizontal="center" vertical="center"/>
    </xf>
    <xf numFmtId="4" fontId="23" fillId="0" borderId="74" xfId="0" applyNumberFormat="1" applyFont="1" applyBorder="1" applyAlignment="1">
      <alignment vertical="center"/>
    </xf>
    <xf numFmtId="177" fontId="23" fillId="0" borderId="68" xfId="0" applyNumberFormat="1" applyFont="1" applyBorder="1" applyAlignment="1">
      <alignment horizontal="center" vertical="center"/>
    </xf>
    <xf numFmtId="177" fontId="23" fillId="0" borderId="72" xfId="0" applyNumberFormat="1" applyFont="1" applyBorder="1" applyAlignment="1">
      <alignment horizontal="center" vertical="center"/>
    </xf>
    <xf numFmtId="4" fontId="23" fillId="0" borderId="94" xfId="0" applyNumberFormat="1" applyFont="1" applyBorder="1" applyAlignment="1">
      <alignment vertical="center"/>
    </xf>
    <xf numFmtId="177" fontId="30" fillId="9" borderId="72" xfId="0" applyNumberFormat="1" applyFont="1" applyFill="1" applyBorder="1" applyAlignment="1">
      <alignment horizontal="center" vertical="center"/>
    </xf>
    <xf numFmtId="4" fontId="25" fillId="9" borderId="73" xfId="0" applyNumberFormat="1" applyFont="1" applyFill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177" fontId="30" fillId="9" borderId="103" xfId="0" applyNumberFormat="1" applyFont="1" applyFill="1" applyBorder="1" applyAlignment="1">
      <alignment horizontal="center" vertical="center"/>
    </xf>
    <xf numFmtId="0" fontId="30" fillId="9" borderId="104" xfId="0" applyFont="1" applyFill="1" applyBorder="1" applyAlignment="1">
      <alignment vertical="center"/>
    </xf>
    <xf numFmtId="0" fontId="30" fillId="9" borderId="104" xfId="0" applyFont="1" applyFill="1" applyBorder="1" applyAlignment="1">
      <alignment horizontal="center" vertical="center"/>
    </xf>
    <xf numFmtId="0" fontId="30" fillId="9" borderId="104" xfId="0" applyFont="1" applyFill="1" applyBorder="1" applyAlignment="1">
      <alignment horizontal="right" vertical="center"/>
    </xf>
    <xf numFmtId="0" fontId="25" fillId="9" borderId="104" xfId="0" applyFont="1" applyFill="1" applyBorder="1" applyAlignment="1">
      <alignment horizontal="center" vertical="center"/>
    </xf>
    <xf numFmtId="178" fontId="25" fillId="9" borderId="104" xfId="0" applyNumberFormat="1" applyFont="1" applyFill="1" applyBorder="1" applyAlignment="1">
      <alignment horizontal="right" vertical="center"/>
    </xf>
    <xf numFmtId="4" fontId="25" fillId="9" borderId="9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177" fontId="25" fillId="13" borderId="66" xfId="0" applyNumberFormat="1" applyFont="1" applyFill="1" applyBorder="1" applyAlignment="1">
      <alignment horizontal="center" vertical="center"/>
    </xf>
    <xf numFmtId="0" fontId="25" fillId="13" borderId="13" xfId="0" applyFont="1" applyFill="1" applyBorder="1" applyAlignment="1">
      <alignment vertical="center"/>
    </xf>
    <xf numFmtId="0" fontId="25" fillId="13" borderId="13" xfId="0" applyFont="1" applyFill="1" applyBorder="1" applyAlignment="1">
      <alignment horizontal="center" vertical="center"/>
    </xf>
    <xf numFmtId="0" fontId="25" fillId="13" borderId="13" xfId="0" applyFont="1" applyFill="1" applyBorder="1" applyAlignment="1">
      <alignment horizontal="right" vertical="center"/>
    </xf>
    <xf numFmtId="4" fontId="25" fillId="13" borderId="67" xfId="0" applyNumberFormat="1" applyFont="1" applyFill="1" applyBorder="1" applyAlignment="1">
      <alignment vertical="center"/>
    </xf>
    <xf numFmtId="4" fontId="23" fillId="0" borderId="13" xfId="0" applyNumberFormat="1" applyFont="1" applyBorder="1" applyAlignment="1">
      <alignment vertical="center"/>
    </xf>
    <xf numFmtId="0" fontId="34" fillId="7" borderId="111" xfId="8" applyFont="1" applyFill="1" applyBorder="1" applyAlignment="1">
      <alignment horizontal="right" vertical="center"/>
    </xf>
    <xf numFmtId="0" fontId="34" fillId="7" borderId="95" xfId="8" applyFont="1" applyFill="1" applyBorder="1" applyAlignment="1">
      <alignment vertical="center"/>
    </xf>
    <xf numFmtId="0" fontId="36" fillId="9" borderId="72" xfId="8" applyFont="1" applyFill="1" applyBorder="1" applyAlignment="1">
      <alignment horizontal="center" vertical="center"/>
    </xf>
    <xf numFmtId="0" fontId="36" fillId="9" borderId="73" xfId="8" applyFont="1" applyFill="1" applyBorder="1" applyAlignment="1">
      <alignment horizontal="center" vertical="center"/>
    </xf>
    <xf numFmtId="0" fontId="33" fillId="0" borderId="77" xfId="8" applyFont="1" applyBorder="1" applyAlignment="1">
      <alignment horizontal="center" vertical="center"/>
    </xf>
    <xf numFmtId="43" fontId="33" fillId="0" borderId="74" xfId="8" applyNumberFormat="1" applyFont="1" applyBorder="1" applyAlignment="1">
      <alignment horizontal="center" vertical="center"/>
    </xf>
    <xf numFmtId="0" fontId="33" fillId="0" borderId="68" xfId="8" applyFont="1" applyBorder="1" applyAlignment="1">
      <alignment horizontal="center" vertical="center"/>
    </xf>
    <xf numFmtId="43" fontId="33" fillId="0" borderId="69" xfId="8" applyNumberFormat="1" applyFont="1" applyBorder="1" applyAlignment="1">
      <alignment horizontal="center" vertical="center"/>
    </xf>
    <xf numFmtId="0" fontId="34" fillId="0" borderId="72" xfId="8" applyFont="1" applyBorder="1" applyAlignment="1">
      <alignment vertical="center"/>
    </xf>
    <xf numFmtId="43" fontId="34" fillId="0" borderId="73" xfId="8" applyNumberFormat="1" applyFont="1" applyBorder="1" applyAlignment="1">
      <alignment vertical="center"/>
    </xf>
    <xf numFmtId="0" fontId="34" fillId="7" borderId="72" xfId="8" applyFont="1" applyFill="1" applyBorder="1" applyAlignment="1">
      <alignment horizontal="right" vertical="center"/>
    </xf>
    <xf numFmtId="0" fontId="34" fillId="7" borderId="73" xfId="8" applyFont="1" applyFill="1" applyBorder="1" applyAlignment="1">
      <alignment vertical="center"/>
    </xf>
    <xf numFmtId="0" fontId="40" fillId="0" borderId="72" xfId="8" applyFont="1" applyBorder="1" applyAlignment="1">
      <alignment horizontal="center" vertical="center"/>
    </xf>
    <xf numFmtId="182" fontId="40" fillId="0" borderId="73" xfId="8" applyNumberFormat="1" applyFont="1" applyBorder="1" applyAlignment="1">
      <alignment horizontal="center" vertical="center"/>
    </xf>
    <xf numFmtId="0" fontId="34" fillId="0" borderId="103" xfId="8" applyFont="1" applyBorder="1" applyAlignment="1">
      <alignment vertical="center"/>
    </xf>
    <xf numFmtId="0" fontId="34" fillId="0" borderId="104" xfId="8" applyFont="1" applyBorder="1" applyAlignment="1">
      <alignment vertical="center"/>
    </xf>
    <xf numFmtId="0" fontId="34" fillId="0" borderId="104" xfId="8" applyFont="1" applyBorder="1" applyAlignment="1">
      <alignment horizontal="left" vertical="center"/>
    </xf>
    <xf numFmtId="0" fontId="34" fillId="0" borderId="104" xfId="8" applyFont="1" applyBorder="1" applyAlignment="1">
      <alignment horizontal="right" vertical="center"/>
    </xf>
    <xf numFmtId="43" fontId="34" fillId="0" borderId="99" xfId="8" applyNumberFormat="1" applyFont="1" applyBorder="1" applyAlignment="1">
      <alignment vertical="center"/>
    </xf>
    <xf numFmtId="0" fontId="34" fillId="10" borderId="66" xfId="8" applyFont="1" applyFill="1" applyBorder="1" applyAlignment="1">
      <alignment horizontal="right" vertical="center"/>
    </xf>
    <xf numFmtId="0" fontId="34" fillId="10" borderId="13" xfId="8" applyFont="1" applyFill="1" applyBorder="1" applyAlignment="1">
      <alignment horizontal="right" vertical="center"/>
    </xf>
    <xf numFmtId="43" fontId="43" fillId="10" borderId="67" xfId="8" applyNumberFormat="1" applyFont="1" applyFill="1" applyBorder="1" applyAlignment="1">
      <alignment horizontal="right" vertical="center"/>
    </xf>
    <xf numFmtId="0" fontId="45" fillId="6" borderId="36" xfId="0" applyFont="1" applyFill="1" applyBorder="1" applyAlignment="1" applyProtection="1">
      <alignment horizontal="center" vertical="center" wrapText="1"/>
      <protection hidden="1"/>
    </xf>
    <xf numFmtId="0" fontId="45" fillId="6" borderId="32" xfId="0" applyFont="1" applyFill="1" applyBorder="1" applyAlignment="1" applyProtection="1">
      <alignment horizontal="center" vertical="center" wrapText="1"/>
      <protection hidden="1"/>
    </xf>
    <xf numFmtId="165" fontId="45" fillId="6" borderId="32" xfId="0" applyNumberFormat="1" applyFont="1" applyFill="1" applyBorder="1" applyAlignment="1" applyProtection="1">
      <alignment horizontal="center" vertical="center" wrapText="1"/>
      <protection hidden="1"/>
    </xf>
    <xf numFmtId="174" fontId="45" fillId="6" borderId="32" xfId="0" applyNumberFormat="1" applyFont="1" applyFill="1" applyBorder="1" applyAlignment="1" applyProtection="1">
      <alignment horizontal="center" vertical="center" wrapText="1"/>
      <protection hidden="1"/>
    </xf>
    <xf numFmtId="2" fontId="45" fillId="6" borderId="32" xfId="0" applyNumberFormat="1" applyFont="1" applyFill="1" applyBorder="1" applyAlignment="1" applyProtection="1">
      <alignment horizontal="center" vertical="center" wrapText="1"/>
      <protection hidden="1"/>
    </xf>
    <xf numFmtId="165" fontId="45" fillId="6" borderId="33" xfId="0" applyNumberFormat="1" applyFont="1" applyFill="1" applyBorder="1" applyAlignment="1" applyProtection="1">
      <alignment horizontal="center" vertical="center" wrapText="1"/>
      <protection hidden="1"/>
    </xf>
    <xf numFmtId="0" fontId="43" fillId="4" borderId="29" xfId="0" applyFont="1" applyFill="1" applyBorder="1" applyAlignment="1" applyProtection="1">
      <alignment horizontal="center" vertical="center"/>
      <protection hidden="1"/>
    </xf>
    <xf numFmtId="0" fontId="43" fillId="4" borderId="37" xfId="0" applyFont="1" applyFill="1" applyBorder="1" applyAlignment="1" applyProtection="1">
      <alignment horizontal="justify" vertical="center" wrapText="1"/>
      <protection hidden="1"/>
    </xf>
    <xf numFmtId="0" fontId="43" fillId="4" borderId="37" xfId="0" applyFont="1" applyFill="1" applyBorder="1" applyAlignment="1" applyProtection="1">
      <alignment horizontal="center" vertical="center" wrapText="1"/>
      <protection hidden="1"/>
    </xf>
    <xf numFmtId="165" fontId="43" fillId="4" borderId="30" xfId="0" applyNumberFormat="1" applyFont="1" applyFill="1" applyBorder="1" applyAlignment="1" applyProtection="1">
      <alignment vertical="center"/>
      <protection hidden="1"/>
    </xf>
    <xf numFmtId="165" fontId="43" fillId="4" borderId="30" xfId="0" applyNumberFormat="1" applyFont="1" applyFill="1" applyBorder="1" applyAlignment="1" applyProtection="1">
      <alignment horizontal="center" vertical="center"/>
      <protection hidden="1"/>
    </xf>
    <xf numFmtId="174" fontId="46" fillId="4" borderId="37" xfId="0" applyNumberFormat="1" applyFont="1" applyFill="1" applyBorder="1" applyAlignment="1" applyProtection="1">
      <alignment vertical="center"/>
      <protection hidden="1"/>
    </xf>
    <xf numFmtId="0" fontId="46" fillId="4" borderId="2" xfId="0" applyFont="1" applyFill="1" applyBorder="1" applyAlignment="1" applyProtection="1">
      <alignment horizontal="center" vertical="center"/>
      <protection hidden="1"/>
    </xf>
    <xf numFmtId="165" fontId="46" fillId="4" borderId="39" xfId="0" applyNumberFormat="1" applyFont="1" applyFill="1" applyBorder="1" applyAlignment="1" applyProtection="1">
      <alignment vertical="center"/>
      <protection hidden="1"/>
    </xf>
    <xf numFmtId="2" fontId="46" fillId="4" borderId="30" xfId="0" applyNumberFormat="1" applyFont="1" applyFill="1" applyBorder="1" applyAlignment="1" applyProtection="1">
      <alignment horizontal="right" vertical="center"/>
      <protection hidden="1"/>
    </xf>
    <xf numFmtId="165" fontId="46" fillId="4" borderId="31" xfId="0" applyNumberFormat="1" applyFont="1" applyFill="1" applyBorder="1" applyAlignment="1" applyProtection="1">
      <alignment vertical="center"/>
      <protection hidden="1"/>
    </xf>
    <xf numFmtId="0" fontId="38" fillId="0" borderId="38" xfId="0" applyFont="1" applyBorder="1" applyAlignment="1" applyProtection="1">
      <alignment horizontal="center" vertical="center"/>
      <protection hidden="1"/>
    </xf>
    <xf numFmtId="0" fontId="38" fillId="0" borderId="34" xfId="0" applyFont="1" applyBorder="1" applyAlignment="1" applyProtection="1">
      <alignment horizontal="justify" vertical="center" wrapText="1"/>
      <protection hidden="1"/>
    </xf>
    <xf numFmtId="1" fontId="38" fillId="0" borderId="34" xfId="0" applyNumberFormat="1" applyFont="1" applyBorder="1" applyAlignment="1" applyProtection="1">
      <alignment horizontal="center" vertical="center" wrapText="1"/>
      <protection hidden="1"/>
    </xf>
    <xf numFmtId="165" fontId="38" fillId="0" borderId="34" xfId="0" applyNumberFormat="1" applyFont="1" applyBorder="1" applyAlignment="1" applyProtection="1">
      <alignment vertical="center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174" fontId="38" fillId="0" borderId="35" xfId="0" applyNumberFormat="1" applyFont="1" applyBorder="1" applyAlignment="1" applyProtection="1">
      <alignment horizontal="center" vertical="center"/>
      <protection hidden="1"/>
    </xf>
    <xf numFmtId="0" fontId="38" fillId="0" borderId="7" xfId="0" applyFont="1" applyBorder="1" applyAlignment="1" applyProtection="1">
      <alignment horizontal="center" vertical="center"/>
      <protection hidden="1"/>
    </xf>
    <xf numFmtId="165" fontId="38" fillId="0" borderId="41" xfId="0" applyNumberFormat="1" applyFont="1" applyBorder="1" applyAlignment="1" applyProtection="1">
      <alignment vertical="center"/>
      <protection hidden="1"/>
    </xf>
    <xf numFmtId="175" fontId="38" fillId="0" borderId="34" xfId="0" applyNumberFormat="1" applyFont="1" applyBorder="1" applyAlignment="1" applyProtection="1">
      <alignment horizontal="right" vertical="center"/>
      <protection hidden="1"/>
    </xf>
    <xf numFmtId="165" fontId="38" fillId="2" borderId="35" xfId="0" applyNumberFormat="1" applyFont="1" applyFill="1" applyBorder="1" applyAlignment="1" applyProtection="1">
      <alignment horizontal="right" vertical="center"/>
      <protection hidden="1"/>
    </xf>
    <xf numFmtId="0" fontId="46" fillId="12" borderId="29" xfId="0" applyFont="1" applyFill="1" applyBorder="1" applyAlignment="1" applyProtection="1">
      <alignment horizontal="center" vertical="center"/>
      <protection hidden="1"/>
    </xf>
    <xf numFmtId="0" fontId="46" fillId="12" borderId="30" xfId="0" applyFont="1" applyFill="1" applyBorder="1" applyAlignment="1" applyProtection="1">
      <alignment horizontal="justify" vertical="center" wrapText="1"/>
      <protection hidden="1"/>
    </xf>
    <xf numFmtId="0" fontId="46" fillId="12" borderId="30" xfId="0" applyFont="1" applyFill="1" applyBorder="1" applyAlignment="1" applyProtection="1">
      <alignment horizontal="center" vertical="center" wrapText="1"/>
      <protection hidden="1"/>
    </xf>
    <xf numFmtId="165" fontId="46" fillId="12" borderId="30" xfId="0" applyNumberFormat="1" applyFont="1" applyFill="1" applyBorder="1" applyAlignment="1" applyProtection="1">
      <alignment vertical="center"/>
      <protection hidden="1"/>
    </xf>
    <xf numFmtId="165" fontId="46" fillId="12" borderId="30" xfId="0" applyNumberFormat="1" applyFont="1" applyFill="1" applyBorder="1" applyAlignment="1" applyProtection="1">
      <alignment horizontal="center" vertical="center"/>
      <protection hidden="1"/>
    </xf>
    <xf numFmtId="174" fontId="46" fillId="12" borderId="30" xfId="0" applyNumberFormat="1" applyFont="1" applyFill="1" applyBorder="1" applyAlignment="1" applyProtection="1">
      <alignment vertical="center"/>
      <protection hidden="1"/>
    </xf>
    <xf numFmtId="0" fontId="46" fillId="12" borderId="30" xfId="0" applyFont="1" applyFill="1" applyBorder="1" applyAlignment="1" applyProtection="1">
      <alignment horizontal="center" vertical="center"/>
      <protection hidden="1"/>
    </xf>
    <xf numFmtId="2" fontId="46" fillId="12" borderId="30" xfId="0" applyNumberFormat="1" applyFont="1" applyFill="1" applyBorder="1" applyAlignment="1" applyProtection="1">
      <alignment horizontal="right" vertical="center"/>
      <protection hidden="1"/>
    </xf>
    <xf numFmtId="165" fontId="46" fillId="12" borderId="31" xfId="0" applyNumberFormat="1" applyFont="1" applyFill="1" applyBorder="1" applyAlignment="1" applyProtection="1">
      <alignment vertical="center"/>
      <protection hidden="1"/>
    </xf>
    <xf numFmtId="49" fontId="38" fillId="0" borderId="38" xfId="0" applyNumberFormat="1" applyFont="1" applyBorder="1" applyAlignment="1" applyProtection="1">
      <alignment horizontal="center" vertical="center"/>
      <protection hidden="1"/>
    </xf>
    <xf numFmtId="174" fontId="38" fillId="0" borderId="34" xfId="0" applyNumberFormat="1" applyFont="1" applyBorder="1" applyAlignment="1" applyProtection="1">
      <alignment horizontal="center" vertical="center"/>
      <protection hidden="1"/>
    </xf>
    <xf numFmtId="0" fontId="38" fillId="0" borderId="40" xfId="0" applyFont="1" applyBorder="1" applyAlignment="1" applyProtection="1">
      <alignment horizontal="center" vertical="center"/>
      <protection hidden="1"/>
    </xf>
    <xf numFmtId="165" fontId="38" fillId="0" borderId="7" xfId="0" applyNumberFormat="1" applyFont="1" applyBorder="1" applyAlignment="1" applyProtection="1">
      <alignment vertical="center"/>
      <protection hidden="1"/>
    </xf>
    <xf numFmtId="175" fontId="38" fillId="0" borderId="41" xfId="0" applyNumberFormat="1" applyFont="1" applyBorder="1" applyAlignment="1" applyProtection="1">
      <alignment horizontal="right" vertical="center"/>
      <protection hidden="1"/>
    </xf>
    <xf numFmtId="0" fontId="38" fillId="0" borderId="34" xfId="0" applyFont="1" applyBorder="1" applyAlignment="1" applyProtection="1">
      <alignment vertical="center"/>
      <protection hidden="1"/>
    </xf>
    <xf numFmtId="49" fontId="38" fillId="0" borderId="26" xfId="0" applyNumberFormat="1" applyFont="1" applyBorder="1" applyAlignment="1" applyProtection="1">
      <alignment horizontal="center" vertical="center"/>
      <protection hidden="1"/>
    </xf>
    <xf numFmtId="1" fontId="38" fillId="0" borderId="27" xfId="0" applyNumberFormat="1" applyFont="1" applyBorder="1" applyAlignment="1" applyProtection="1">
      <alignment horizontal="center" vertical="center" wrapText="1"/>
      <protection hidden="1"/>
    </xf>
    <xf numFmtId="165" fontId="38" fillId="0" borderId="27" xfId="0" applyNumberFormat="1" applyFont="1" applyBorder="1" applyAlignment="1" applyProtection="1">
      <alignment vertical="center"/>
      <protection hidden="1"/>
    </xf>
    <xf numFmtId="0" fontId="38" fillId="0" borderId="27" xfId="0" applyFont="1" applyBorder="1" applyAlignment="1" applyProtection="1">
      <alignment horizontal="center" vertical="center"/>
      <protection hidden="1"/>
    </xf>
    <xf numFmtId="174" fontId="38" fillId="0" borderId="27" xfId="0" applyNumberFormat="1" applyFont="1" applyBorder="1" applyAlignment="1" applyProtection="1">
      <alignment horizontal="center" vertical="center"/>
      <protection hidden="1"/>
    </xf>
    <xf numFmtId="175" fontId="38" fillId="0" borderId="26" xfId="0" applyNumberFormat="1" applyFont="1" applyBorder="1" applyAlignment="1" applyProtection="1">
      <alignment horizontal="right" vertical="center"/>
      <protection hidden="1"/>
    </xf>
    <xf numFmtId="0" fontId="46" fillId="4" borderId="30" xfId="0" applyFont="1" applyFill="1" applyBorder="1" applyAlignment="1" applyProtection="1">
      <alignment horizontal="center" vertical="center"/>
      <protection hidden="1"/>
    </xf>
    <xf numFmtId="165" fontId="46" fillId="4" borderId="30" xfId="0" applyNumberFormat="1" applyFont="1" applyFill="1" applyBorder="1" applyAlignment="1" applyProtection="1">
      <alignment vertical="center"/>
      <protection hidden="1"/>
    </xf>
    <xf numFmtId="175" fontId="38" fillId="0" borderId="27" xfId="0" applyNumberFormat="1" applyFont="1" applyBorder="1" applyAlignment="1" applyProtection="1">
      <alignment horizontal="right" vertical="center"/>
      <protection hidden="1"/>
    </xf>
    <xf numFmtId="165" fontId="38" fillId="2" borderId="28" xfId="0" applyNumberFormat="1" applyFont="1" applyFill="1" applyBorder="1" applyAlignment="1" applyProtection="1">
      <alignment horizontal="right" vertical="center"/>
      <protection hidden="1"/>
    </xf>
    <xf numFmtId="0" fontId="46" fillId="12" borderId="38" xfId="0" applyFont="1" applyFill="1" applyBorder="1" applyAlignment="1" applyProtection="1">
      <alignment horizontal="center" vertical="center"/>
      <protection hidden="1"/>
    </xf>
    <xf numFmtId="0" fontId="46" fillId="12" borderId="34" xfId="0" applyFont="1" applyFill="1" applyBorder="1" applyAlignment="1" applyProtection="1">
      <alignment horizontal="justify" vertical="center" wrapText="1"/>
      <protection hidden="1"/>
    </xf>
    <xf numFmtId="0" fontId="46" fillId="12" borderId="34" xfId="0" applyFont="1" applyFill="1" applyBorder="1" applyAlignment="1" applyProtection="1">
      <alignment horizontal="center" vertical="center" wrapText="1"/>
      <protection hidden="1"/>
    </xf>
    <xf numFmtId="165" fontId="46" fillId="12" borderId="34" xfId="0" applyNumberFormat="1" applyFont="1" applyFill="1" applyBorder="1" applyAlignment="1" applyProtection="1">
      <alignment vertical="center"/>
      <protection hidden="1"/>
    </xf>
    <xf numFmtId="165" fontId="46" fillId="12" borderId="34" xfId="0" applyNumberFormat="1" applyFont="1" applyFill="1" applyBorder="1" applyAlignment="1" applyProtection="1">
      <alignment horizontal="center" vertical="center"/>
      <protection hidden="1"/>
    </xf>
    <xf numFmtId="174" fontId="46" fillId="12" borderId="34" xfId="0" applyNumberFormat="1" applyFont="1" applyFill="1" applyBorder="1" applyAlignment="1" applyProtection="1">
      <alignment vertical="center"/>
      <protection hidden="1"/>
    </xf>
    <xf numFmtId="0" fontId="46" fillId="12" borderId="34" xfId="0" applyFont="1" applyFill="1" applyBorder="1" applyAlignment="1" applyProtection="1">
      <alignment horizontal="center" vertical="center"/>
      <protection hidden="1"/>
    </xf>
    <xf numFmtId="2" fontId="46" fillId="12" borderId="34" xfId="0" applyNumberFormat="1" applyFont="1" applyFill="1" applyBorder="1" applyAlignment="1" applyProtection="1">
      <alignment horizontal="right" vertical="center"/>
      <protection hidden="1"/>
    </xf>
    <xf numFmtId="165" fontId="46" fillId="12" borderId="35" xfId="0" applyNumberFormat="1" applyFont="1" applyFill="1" applyBorder="1" applyAlignment="1" applyProtection="1">
      <alignment vertical="center"/>
      <protection hidden="1"/>
    </xf>
    <xf numFmtId="0" fontId="38" fillId="0" borderId="27" xfId="0" applyFont="1" applyBorder="1" applyAlignment="1" applyProtection="1">
      <alignment vertical="center"/>
      <protection hidden="1"/>
    </xf>
    <xf numFmtId="0" fontId="46" fillId="3" borderId="38" xfId="0" applyFont="1" applyFill="1" applyBorder="1" applyAlignment="1" applyProtection="1">
      <alignment horizontal="center" vertical="center"/>
      <protection hidden="1"/>
    </xf>
    <xf numFmtId="0" fontId="46" fillId="3" borderId="34" xfId="0" applyFont="1" applyFill="1" applyBorder="1" applyAlignment="1" applyProtection="1">
      <alignment horizontal="center" vertical="center" wrapText="1"/>
      <protection hidden="1"/>
    </xf>
    <xf numFmtId="165" fontId="46" fillId="3" borderId="34" xfId="0" applyNumberFormat="1" applyFont="1" applyFill="1" applyBorder="1" applyAlignment="1" applyProtection="1">
      <alignment vertical="center"/>
      <protection hidden="1"/>
    </xf>
    <xf numFmtId="165" fontId="46" fillId="3" borderId="34" xfId="0" applyNumberFormat="1" applyFont="1" applyFill="1" applyBorder="1" applyAlignment="1" applyProtection="1">
      <alignment horizontal="center" vertical="center"/>
      <protection hidden="1"/>
    </xf>
    <xf numFmtId="174" fontId="46" fillId="3" borderId="34" xfId="0" applyNumberFormat="1" applyFont="1" applyFill="1" applyBorder="1" applyAlignment="1" applyProtection="1">
      <alignment vertical="center"/>
      <protection hidden="1"/>
    </xf>
    <xf numFmtId="0" fontId="46" fillId="3" borderId="34" xfId="0" applyFont="1" applyFill="1" applyBorder="1" applyAlignment="1" applyProtection="1">
      <alignment horizontal="center" vertical="center"/>
      <protection hidden="1"/>
    </xf>
    <xf numFmtId="2" fontId="46" fillId="3" borderId="34" xfId="0" applyNumberFormat="1" applyFont="1" applyFill="1" applyBorder="1" applyAlignment="1" applyProtection="1">
      <alignment horizontal="right" vertical="center"/>
      <protection hidden="1"/>
    </xf>
    <xf numFmtId="165" fontId="46" fillId="3" borderId="35" xfId="0" applyNumberFormat="1" applyFont="1" applyFill="1" applyBorder="1" applyAlignment="1" applyProtection="1">
      <alignment vertical="center"/>
      <protection hidden="1"/>
    </xf>
    <xf numFmtId="174" fontId="47" fillId="12" borderId="30" xfId="0" applyNumberFormat="1" applyFont="1" applyFill="1" applyBorder="1" applyAlignment="1" applyProtection="1">
      <alignment vertical="center"/>
      <protection hidden="1"/>
    </xf>
    <xf numFmtId="174" fontId="47" fillId="12" borderId="34" xfId="0" applyNumberFormat="1" applyFont="1" applyFill="1" applyBorder="1" applyAlignment="1" applyProtection="1">
      <alignment vertical="center"/>
      <protection hidden="1"/>
    </xf>
    <xf numFmtId="174" fontId="37" fillId="0" borderId="34" xfId="0" applyNumberFormat="1" applyFont="1" applyBorder="1" applyAlignment="1" applyProtection="1">
      <alignment horizontal="center" vertical="center"/>
      <protection hidden="1"/>
    </xf>
    <xf numFmtId="174" fontId="37" fillId="0" borderId="27" xfId="0" applyNumberFormat="1" applyFont="1" applyBorder="1" applyAlignment="1" applyProtection="1">
      <alignment horizontal="center" vertical="center"/>
      <protection hidden="1"/>
    </xf>
    <xf numFmtId="0" fontId="43" fillId="4" borderId="42" xfId="0" applyFont="1" applyFill="1" applyBorder="1" applyAlignment="1" applyProtection="1">
      <alignment horizontal="center" vertical="center"/>
      <protection hidden="1"/>
    </xf>
    <xf numFmtId="0" fontId="43" fillId="4" borderId="44" xfId="0" applyFont="1" applyFill="1" applyBorder="1" applyAlignment="1" applyProtection="1">
      <alignment horizontal="center" vertical="center" wrapText="1"/>
      <protection hidden="1"/>
    </xf>
    <xf numFmtId="165" fontId="43" fillId="4" borderId="45" xfId="0" applyNumberFormat="1" applyFont="1" applyFill="1" applyBorder="1" applyAlignment="1" applyProtection="1">
      <alignment vertical="center"/>
      <protection hidden="1"/>
    </xf>
    <xf numFmtId="165" fontId="43" fillId="4" borderId="45" xfId="0" applyNumberFormat="1" applyFont="1" applyFill="1" applyBorder="1" applyAlignment="1" applyProtection="1">
      <alignment horizontal="center" vertical="center"/>
      <protection hidden="1"/>
    </xf>
    <xf numFmtId="174" fontId="46" fillId="4" borderId="44" xfId="0" applyNumberFormat="1" applyFont="1" applyFill="1" applyBorder="1" applyAlignment="1" applyProtection="1">
      <alignment vertical="center"/>
      <protection hidden="1"/>
    </xf>
    <xf numFmtId="0" fontId="46" fillId="4" borderId="45" xfId="0" applyFont="1" applyFill="1" applyBorder="1" applyAlignment="1" applyProtection="1">
      <alignment horizontal="center" vertical="center"/>
      <protection hidden="1"/>
    </xf>
    <xf numFmtId="165" fontId="46" fillId="4" borderId="45" xfId="0" applyNumberFormat="1" applyFont="1" applyFill="1" applyBorder="1" applyAlignment="1" applyProtection="1">
      <alignment vertical="center"/>
      <protection hidden="1"/>
    </xf>
    <xf numFmtId="2" fontId="46" fillId="4" borderId="45" xfId="0" applyNumberFormat="1" applyFont="1" applyFill="1" applyBorder="1" applyAlignment="1" applyProtection="1">
      <alignment horizontal="right" vertical="center"/>
      <protection hidden="1"/>
    </xf>
    <xf numFmtId="165" fontId="46" fillId="4" borderId="43" xfId="0" applyNumberFormat="1" applyFont="1" applyFill="1" applyBorder="1" applyAlignment="1" applyProtection="1">
      <alignment vertical="center"/>
      <protection hidden="1"/>
    </xf>
    <xf numFmtId="0" fontId="38" fillId="0" borderId="26" xfId="0" applyFont="1" applyBorder="1" applyAlignment="1" applyProtection="1">
      <alignment horizontal="center" vertical="center"/>
      <protection hidden="1"/>
    </xf>
    <xf numFmtId="0" fontId="46" fillId="3" borderId="29" xfId="0" applyFont="1" applyFill="1" applyBorder="1" applyAlignment="1" applyProtection="1">
      <alignment horizontal="center" vertical="center"/>
      <protection hidden="1"/>
    </xf>
    <xf numFmtId="0" fontId="46" fillId="3" borderId="30" xfId="0" applyFont="1" applyFill="1" applyBorder="1" applyAlignment="1" applyProtection="1">
      <alignment horizontal="justify" vertical="center" wrapText="1"/>
      <protection hidden="1"/>
    </xf>
    <xf numFmtId="0" fontId="46" fillId="3" borderId="30" xfId="0" applyFont="1" applyFill="1" applyBorder="1" applyAlignment="1" applyProtection="1">
      <alignment horizontal="center" vertical="center" wrapText="1"/>
      <protection hidden="1"/>
    </xf>
    <xf numFmtId="165" fontId="46" fillId="3" borderId="30" xfId="0" applyNumberFormat="1" applyFont="1" applyFill="1" applyBorder="1" applyAlignment="1" applyProtection="1">
      <alignment vertical="center"/>
      <protection hidden="1"/>
    </xf>
    <xf numFmtId="165" fontId="46" fillId="3" borderId="30" xfId="0" applyNumberFormat="1" applyFont="1" applyFill="1" applyBorder="1" applyAlignment="1" applyProtection="1">
      <alignment horizontal="center" vertical="center"/>
      <protection hidden="1"/>
    </xf>
    <xf numFmtId="174" fontId="46" fillId="3" borderId="30" xfId="0" applyNumberFormat="1" applyFont="1" applyFill="1" applyBorder="1" applyAlignment="1" applyProtection="1">
      <alignment vertical="center"/>
      <protection hidden="1"/>
    </xf>
    <xf numFmtId="0" fontId="46" fillId="3" borderId="30" xfId="0" applyFont="1" applyFill="1" applyBorder="1" applyAlignment="1" applyProtection="1">
      <alignment horizontal="center" vertical="center"/>
      <protection hidden="1"/>
    </xf>
    <xf numFmtId="2" fontId="46" fillId="3" borderId="30" xfId="0" applyNumberFormat="1" applyFont="1" applyFill="1" applyBorder="1" applyAlignment="1" applyProtection="1">
      <alignment horizontal="right" vertical="center"/>
      <protection hidden="1"/>
    </xf>
    <xf numFmtId="165" fontId="46" fillId="3" borderId="31" xfId="0" applyNumberFormat="1" applyFont="1" applyFill="1" applyBorder="1" applyAlignment="1" applyProtection="1">
      <alignment vertical="center"/>
      <protection hidden="1"/>
    </xf>
    <xf numFmtId="0" fontId="38" fillId="0" borderId="0" xfId="0" applyFont="1"/>
    <xf numFmtId="0" fontId="43" fillId="10" borderId="4" xfId="0" applyFont="1" applyFill="1" applyBorder="1" applyAlignment="1" applyProtection="1">
      <alignment horizontal="center" vertical="center"/>
      <protection hidden="1"/>
    </xf>
    <xf numFmtId="0" fontId="43" fillId="10" borderId="5" xfId="0" applyFont="1" applyFill="1" applyBorder="1" applyAlignment="1" applyProtection="1">
      <alignment horizontal="center" vertical="center"/>
      <protection hidden="1"/>
    </xf>
    <xf numFmtId="0" fontId="43" fillId="10" borderId="6" xfId="0" applyFont="1" applyFill="1" applyBorder="1" applyAlignment="1" applyProtection="1">
      <alignment horizontal="center" vertical="center"/>
      <protection hidden="1"/>
    </xf>
    <xf numFmtId="0" fontId="43" fillId="10" borderId="1" xfId="0" applyFont="1" applyFill="1" applyBorder="1" applyAlignment="1" applyProtection="1">
      <alignment horizontal="center" vertical="center"/>
      <protection hidden="1"/>
    </xf>
    <xf numFmtId="0" fontId="43" fillId="0" borderId="4" xfId="0" applyFont="1" applyBorder="1" applyAlignment="1" applyProtection="1">
      <alignment horizontal="center" vertical="center"/>
      <protection hidden="1"/>
    </xf>
    <xf numFmtId="0" fontId="43" fillId="0" borderId="6" xfId="0" applyFont="1" applyBorder="1" applyAlignment="1" applyProtection="1">
      <alignment horizontal="left" vertical="center" wrapText="1"/>
      <protection hidden="1"/>
    </xf>
    <xf numFmtId="1" fontId="45" fillId="0" borderId="1" xfId="0" applyNumberFormat="1" applyFont="1" applyBorder="1" applyAlignment="1" applyProtection="1">
      <alignment horizontal="center" vertical="center" wrapText="1"/>
      <protection hidden="1"/>
    </xf>
    <xf numFmtId="165" fontId="43" fillId="0" borderId="4" xfId="0" applyNumberFormat="1" applyFont="1" applyBorder="1" applyAlignment="1" applyProtection="1">
      <alignment vertical="center"/>
      <protection hidden="1"/>
    </xf>
    <xf numFmtId="0" fontId="43" fillId="0" borderId="5" xfId="0" applyFont="1" applyBorder="1" applyAlignment="1" applyProtection="1">
      <alignment vertical="center"/>
      <protection hidden="1"/>
    </xf>
    <xf numFmtId="174" fontId="43" fillId="0" borderId="5" xfId="0" applyNumberFormat="1" applyFont="1" applyBorder="1" applyAlignment="1" applyProtection="1">
      <alignment vertical="center"/>
      <protection hidden="1"/>
    </xf>
    <xf numFmtId="165" fontId="43" fillId="0" borderId="5" xfId="0" applyNumberFormat="1" applyFont="1" applyBorder="1" applyAlignment="1" applyProtection="1">
      <alignment vertical="center"/>
      <protection hidden="1"/>
    </xf>
    <xf numFmtId="2" fontId="43" fillId="0" borderId="6" xfId="0" applyNumberFormat="1" applyFont="1" applyBorder="1" applyAlignment="1" applyProtection="1">
      <alignment horizontal="right" vertical="center"/>
      <protection hidden="1"/>
    </xf>
    <xf numFmtId="165" fontId="45" fillId="0" borderId="1" xfId="0" applyNumberFormat="1" applyFont="1" applyBorder="1" applyAlignment="1" applyProtection="1">
      <alignment vertical="center"/>
      <protection hidden="1"/>
    </xf>
    <xf numFmtId="165" fontId="33" fillId="0" borderId="0" xfId="0" applyNumberFormat="1" applyFont="1"/>
    <xf numFmtId="165" fontId="45" fillId="0" borderId="0" xfId="0" applyNumberFormat="1" applyFont="1" applyAlignment="1" applyProtection="1">
      <alignment vertical="center"/>
      <protection hidden="1"/>
    </xf>
    <xf numFmtId="1" fontId="38" fillId="0" borderId="0" xfId="0" applyNumberFormat="1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165" fontId="45" fillId="0" borderId="0" xfId="0" applyNumberFormat="1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165" fontId="46" fillId="0" borderId="0" xfId="0" applyNumberFormat="1" applyFont="1" applyAlignment="1" applyProtection="1">
      <alignment vertical="center"/>
      <protection hidden="1"/>
    </xf>
    <xf numFmtId="165" fontId="38" fillId="0" borderId="0" xfId="0" applyNumberFormat="1" applyFont="1" applyAlignment="1" applyProtection="1">
      <alignment horizontal="righ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165" fontId="38" fillId="0" borderId="0" xfId="0" applyNumberFormat="1" applyFont="1"/>
    <xf numFmtId="0" fontId="46" fillId="12" borderId="30" xfId="0" applyFont="1" applyFill="1" applyBorder="1" applyAlignment="1" applyProtection="1">
      <alignment horizontal="left" vertical="center" wrapText="1"/>
      <protection hidden="1"/>
    </xf>
    <xf numFmtId="0" fontId="38" fillId="0" borderId="27" xfId="0" applyFont="1" applyBorder="1" applyAlignment="1" applyProtection="1">
      <alignment horizontal="justify" vertical="center" wrapText="1"/>
      <protection hidden="1"/>
    </xf>
    <xf numFmtId="0" fontId="0" fillId="0" borderId="9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5" fontId="0" fillId="0" borderId="91" xfId="0" applyNumberForma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165" fontId="0" fillId="0" borderId="97" xfId="0" applyNumberFormat="1" applyBorder="1" applyAlignment="1">
      <alignment horizontal="center" vertical="center"/>
    </xf>
    <xf numFmtId="0" fontId="12" fillId="8" borderId="103" xfId="0" applyFont="1" applyFill="1" applyBorder="1" applyAlignment="1">
      <alignment horizontal="center" vertical="center"/>
    </xf>
    <xf numFmtId="0" fontId="12" fillId="8" borderId="104" xfId="0" applyFont="1" applyFill="1" applyBorder="1" applyAlignment="1">
      <alignment horizontal="center" vertical="center"/>
    </xf>
    <xf numFmtId="0" fontId="12" fillId="8" borderId="64" xfId="0" applyFont="1" applyFill="1" applyBorder="1" applyAlignment="1">
      <alignment horizontal="center" vertical="center" wrapText="1"/>
    </xf>
    <xf numFmtId="165" fontId="12" fillId="8" borderId="64" xfId="0" applyNumberFormat="1" applyFont="1" applyFill="1" applyBorder="1" applyAlignment="1">
      <alignment horizontal="center" vertical="center"/>
    </xf>
    <xf numFmtId="0" fontId="12" fillId="8" borderId="64" xfId="0" applyFont="1" applyFill="1" applyBorder="1" applyAlignment="1">
      <alignment horizontal="center" vertical="center"/>
    </xf>
    <xf numFmtId="0" fontId="12" fillId="8" borderId="99" xfId="0" applyFont="1" applyFill="1" applyBorder="1" applyAlignment="1">
      <alignment horizontal="center" vertical="center"/>
    </xf>
    <xf numFmtId="0" fontId="4" fillId="9" borderId="66" xfId="0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left" vertical="center" wrapText="1"/>
    </xf>
    <xf numFmtId="165" fontId="4" fillId="9" borderId="13" xfId="0" applyNumberFormat="1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left" vertical="center"/>
    </xf>
    <xf numFmtId="0" fontId="4" fillId="9" borderId="67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165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4" fillId="9" borderId="59" xfId="0" applyFont="1" applyFill="1" applyBorder="1" applyAlignment="1">
      <alignment horizontal="left" vertical="center"/>
    </xf>
    <xf numFmtId="165" fontId="4" fillId="9" borderId="59" xfId="0" applyNumberFormat="1" applyFont="1" applyFill="1" applyBorder="1" applyAlignment="1">
      <alignment horizontal="left" vertical="center"/>
    </xf>
    <xf numFmtId="0" fontId="4" fillId="9" borderId="90" xfId="0" applyFont="1" applyFill="1" applyBorder="1" applyAlignment="1">
      <alignment horizontal="left" vertical="center"/>
    </xf>
    <xf numFmtId="0" fontId="4" fillId="9" borderId="60" xfId="0" applyFont="1" applyFill="1" applyBorder="1" applyAlignment="1">
      <alignment horizontal="left" vertical="center"/>
    </xf>
    <xf numFmtId="0" fontId="12" fillId="4" borderId="61" xfId="0" applyFont="1" applyFill="1" applyBorder="1" applyAlignment="1">
      <alignment horizontal="center" vertical="center"/>
    </xf>
    <xf numFmtId="0" fontId="12" fillId="4" borderId="62" xfId="0" applyFont="1" applyFill="1" applyBorder="1" applyAlignment="1">
      <alignment horizontal="center" vertical="center"/>
    </xf>
    <xf numFmtId="0" fontId="4" fillId="9" borderId="58" xfId="0" applyFont="1" applyFill="1" applyBorder="1" applyAlignment="1">
      <alignment horizontal="left" vertical="center"/>
    </xf>
    <xf numFmtId="0" fontId="4" fillId="9" borderId="59" xfId="0" applyFont="1" applyFill="1" applyBorder="1" applyAlignment="1">
      <alignment horizontal="left" vertical="center" wrapText="1"/>
    </xf>
    <xf numFmtId="0" fontId="12" fillId="4" borderId="108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 wrapText="1"/>
    </xf>
    <xf numFmtId="165" fontId="12" fillId="4" borderId="57" xfId="0" applyNumberFormat="1" applyFont="1" applyFill="1" applyBorder="1" applyAlignment="1">
      <alignment horizontal="center" vertical="center"/>
    </xf>
    <xf numFmtId="0" fontId="12" fillId="4" borderId="10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24" fillId="9" borderId="68" xfId="10" applyNumberFormat="1" applyFont="1" applyFill="1" applyBorder="1" applyAlignment="1" applyProtection="1">
      <alignment horizontal="center" vertical="center"/>
      <protection hidden="1"/>
    </xf>
    <xf numFmtId="49" fontId="24" fillId="9" borderId="1" xfId="10" applyNumberFormat="1" applyFont="1" applyFill="1" applyBorder="1" applyAlignment="1" applyProtection="1">
      <alignment horizontal="center" vertical="center"/>
      <protection hidden="1"/>
    </xf>
    <xf numFmtId="0" fontId="23" fillId="0" borderId="61" xfId="10" applyFont="1" applyBorder="1" applyAlignment="1" applyProtection="1">
      <alignment horizontal="left" vertical="center" wrapText="1"/>
      <protection hidden="1"/>
    </xf>
    <xf numFmtId="0" fontId="23" fillId="0" borderId="0" xfId="10" applyFont="1" applyAlignment="1" applyProtection="1">
      <alignment horizontal="left" vertical="center" wrapText="1"/>
      <protection hidden="1"/>
    </xf>
    <xf numFmtId="0" fontId="23" fillId="0" borderId="62" xfId="10" applyFont="1" applyBorder="1" applyAlignment="1" applyProtection="1">
      <alignment horizontal="left" vertical="center" wrapText="1"/>
      <protection hidden="1"/>
    </xf>
    <xf numFmtId="49" fontId="23" fillId="0" borderId="68" xfId="10" applyNumberFormat="1" applyFont="1" applyBorder="1" applyAlignment="1" applyProtection="1">
      <alignment horizontal="left" vertical="center"/>
      <protection hidden="1"/>
    </xf>
    <xf numFmtId="49" fontId="23" fillId="0" borderId="1" xfId="10" applyNumberFormat="1" applyFont="1" applyBorder="1" applyAlignment="1" applyProtection="1">
      <alignment horizontal="left" vertical="center"/>
      <protection hidden="1"/>
    </xf>
    <xf numFmtId="0" fontId="23" fillId="0" borderId="1" xfId="10" applyFont="1" applyBorder="1" applyAlignment="1" applyProtection="1">
      <alignment horizontal="center" vertical="center"/>
      <protection hidden="1"/>
    </xf>
    <xf numFmtId="0" fontId="25" fillId="0" borderId="1" xfId="10" applyFont="1" applyBorder="1" applyAlignment="1" applyProtection="1">
      <alignment horizontal="center" vertical="center"/>
      <protection hidden="1"/>
    </xf>
    <xf numFmtId="49" fontId="23" fillId="0" borderId="68" xfId="10" applyNumberFormat="1" applyFont="1" applyBorder="1" applyAlignment="1" applyProtection="1">
      <alignment vertical="center"/>
      <protection hidden="1"/>
    </xf>
    <xf numFmtId="49" fontId="23" fillId="0" borderId="1" xfId="10" applyNumberFormat="1" applyFont="1" applyBorder="1" applyAlignment="1" applyProtection="1">
      <alignment vertical="center"/>
      <protection hidden="1"/>
    </xf>
    <xf numFmtId="49" fontId="24" fillId="0" borderId="68" xfId="10" applyNumberFormat="1" applyFont="1" applyBorder="1" applyAlignment="1" applyProtection="1">
      <alignment horizontal="center" vertical="center"/>
      <protection hidden="1"/>
    </xf>
    <xf numFmtId="49" fontId="24" fillId="0" borderId="1" xfId="10" applyNumberFormat="1" applyFont="1" applyBorder="1" applyAlignment="1" applyProtection="1">
      <alignment horizontal="center" vertical="center"/>
      <protection hidden="1"/>
    </xf>
    <xf numFmtId="49" fontId="24" fillId="16" borderId="101" xfId="10" applyNumberFormat="1" applyFont="1" applyFill="1" applyBorder="1" applyAlignment="1" applyProtection="1">
      <alignment horizontal="center" vertical="center"/>
      <protection hidden="1"/>
    </xf>
    <xf numFmtId="49" fontId="24" fillId="16" borderId="91" xfId="10" applyNumberFormat="1" applyFont="1" applyFill="1" applyBorder="1" applyAlignment="1" applyProtection="1">
      <alignment horizontal="center" vertical="center"/>
      <protection hidden="1"/>
    </xf>
    <xf numFmtId="49" fontId="24" fillId="16" borderId="102" xfId="10" applyNumberFormat="1" applyFont="1" applyFill="1" applyBorder="1" applyAlignment="1" applyProtection="1">
      <alignment horizontal="center" vertical="center"/>
      <protection hidden="1"/>
    </xf>
    <xf numFmtId="165" fontId="24" fillId="0" borderId="1" xfId="10" applyNumberFormat="1" applyFont="1" applyBorder="1" applyAlignment="1" applyProtection="1">
      <alignment horizontal="center" vertical="center"/>
      <protection hidden="1"/>
    </xf>
    <xf numFmtId="165" fontId="24" fillId="0" borderId="69" xfId="10" applyNumberFormat="1" applyFont="1" applyBorder="1" applyAlignment="1" applyProtection="1">
      <alignment horizontal="center" vertical="center"/>
      <protection hidden="1"/>
    </xf>
    <xf numFmtId="0" fontId="24" fillId="16" borderId="66" xfId="10" applyFont="1" applyFill="1" applyBorder="1" applyAlignment="1" applyProtection="1">
      <alignment horizontal="center" vertical="center"/>
      <protection hidden="1"/>
    </xf>
    <xf numFmtId="0" fontId="24" fillId="16" borderId="13" xfId="10" applyFont="1" applyFill="1" applyBorder="1" applyAlignment="1" applyProtection="1">
      <alignment horizontal="center" vertical="center"/>
      <protection hidden="1"/>
    </xf>
    <xf numFmtId="0" fontId="24" fillId="16" borderId="67" xfId="10" applyFont="1" applyFill="1" applyBorder="1" applyAlignment="1" applyProtection="1">
      <alignment horizontal="center" vertical="center"/>
      <protection hidden="1"/>
    </xf>
    <xf numFmtId="165" fontId="24" fillId="16" borderId="72" xfId="10" applyNumberFormat="1" applyFont="1" applyFill="1" applyBorder="1" applyAlignment="1" applyProtection="1">
      <alignment horizontal="right" vertical="center"/>
      <protection hidden="1"/>
    </xf>
    <xf numFmtId="165" fontId="24" fillId="16" borderId="5" xfId="10" applyNumberFormat="1" applyFont="1" applyFill="1" applyBorder="1" applyAlignment="1" applyProtection="1">
      <alignment horizontal="right" vertical="center"/>
      <protection hidden="1"/>
    </xf>
    <xf numFmtId="0" fontId="24" fillId="0" borderId="58" xfId="10" applyFont="1" applyBorder="1" applyAlignment="1" applyProtection="1">
      <alignment vertical="center"/>
      <protection hidden="1"/>
    </xf>
    <xf numFmtId="0" fontId="24" fillId="0" borderId="59" xfId="10" applyFont="1" applyBorder="1" applyAlignment="1" applyProtection="1">
      <alignment vertical="center"/>
      <protection hidden="1"/>
    </xf>
    <xf numFmtId="0" fontId="24" fillId="0" borderId="61" xfId="10" applyFont="1" applyBorder="1" applyAlignment="1" applyProtection="1">
      <alignment vertical="center"/>
      <protection hidden="1"/>
    </xf>
    <xf numFmtId="0" fontId="24" fillId="0" borderId="0" xfId="10" applyFont="1" applyAlignment="1" applyProtection="1">
      <alignment vertical="center"/>
      <protection hidden="1"/>
    </xf>
    <xf numFmtId="0" fontId="4" fillId="14" borderId="1" xfId="0" applyFont="1" applyFill="1" applyBorder="1" applyAlignment="1">
      <alignment horizontal="center" vertical="center"/>
    </xf>
    <xf numFmtId="39" fontId="30" fillId="18" borderId="0" xfId="4" applyFont="1" applyFill="1" applyAlignment="1">
      <alignment horizontal="left" vertical="center"/>
    </xf>
    <xf numFmtId="39" fontId="30" fillId="18" borderId="1" xfId="4" applyFont="1" applyFill="1" applyBorder="1" applyAlignment="1">
      <alignment horizontal="center" vertical="center"/>
    </xf>
    <xf numFmtId="39" fontId="30" fillId="18" borderId="64" xfId="4" applyFont="1" applyFill="1" applyBorder="1" applyAlignment="1">
      <alignment horizontal="left" vertical="center"/>
    </xf>
    <xf numFmtId="39" fontId="25" fillId="0" borderId="97" xfId="4" applyFont="1" applyBorder="1" applyAlignment="1">
      <alignment horizontal="center" vertical="center"/>
    </xf>
    <xf numFmtId="170" fontId="24" fillId="9" borderId="97" xfId="4" applyNumberFormat="1" applyFont="1" applyFill="1" applyBorder="1" applyAlignment="1">
      <alignment horizontal="center" vertical="center"/>
    </xf>
    <xf numFmtId="170" fontId="24" fillId="9" borderId="100" xfId="4" applyNumberFormat="1" applyFont="1" applyFill="1" applyBorder="1" applyAlignment="1">
      <alignment horizontal="center" vertical="center"/>
    </xf>
    <xf numFmtId="39" fontId="23" fillId="0" borderId="97" xfId="4" applyFont="1" applyBorder="1" applyAlignment="1">
      <alignment vertical="center"/>
    </xf>
    <xf numFmtId="39" fontId="23" fillId="0" borderId="98" xfId="4" applyFont="1" applyBorder="1" applyAlignment="1">
      <alignment horizontal="center" vertical="center"/>
    </xf>
    <xf numFmtId="39" fontId="23" fillId="0" borderId="99" xfId="4" applyFont="1" applyBorder="1" applyAlignment="1">
      <alignment horizontal="center" vertical="center"/>
    </xf>
    <xf numFmtId="39" fontId="24" fillId="18" borderId="61" xfId="4" applyFont="1" applyFill="1" applyBorder="1" applyAlignment="1">
      <alignment horizontal="left" vertical="center" wrapText="1"/>
    </xf>
    <xf numFmtId="39" fontId="24" fillId="18" borderId="0" xfId="4" applyFont="1" applyFill="1" applyAlignment="1">
      <alignment horizontal="left" vertical="center" wrapText="1"/>
    </xf>
    <xf numFmtId="39" fontId="24" fillId="18" borderId="1" xfId="4" applyFont="1" applyFill="1" applyBorder="1" applyAlignment="1">
      <alignment horizontal="center" vertical="center"/>
    </xf>
    <xf numFmtId="39" fontId="24" fillId="18" borderId="69" xfId="4" applyFont="1" applyFill="1" applyBorder="1" applyAlignment="1">
      <alignment horizontal="center" vertical="center"/>
    </xf>
    <xf numFmtId="39" fontId="23" fillId="0" borderId="1" xfId="4" applyFont="1" applyBorder="1" applyAlignment="1">
      <alignment vertical="center"/>
    </xf>
    <xf numFmtId="39" fontId="23" fillId="0" borderId="4" xfId="4" applyFont="1" applyBorder="1" applyAlignment="1">
      <alignment horizontal="center" vertical="center"/>
    </xf>
    <xf numFmtId="39" fontId="23" fillId="0" borderId="73" xfId="4" applyFont="1" applyBorder="1" applyAlignment="1">
      <alignment horizontal="center" vertical="center"/>
    </xf>
    <xf numFmtId="39" fontId="25" fillId="9" borderId="1" xfId="4" applyFont="1" applyFill="1" applyBorder="1" applyAlignment="1">
      <alignment horizontal="center" vertical="center"/>
    </xf>
    <xf numFmtId="39" fontId="25" fillId="9" borderId="76" xfId="4" applyFont="1" applyFill="1" applyBorder="1" applyAlignment="1">
      <alignment horizontal="center" vertical="center" wrapText="1"/>
    </xf>
    <xf numFmtId="39" fontId="25" fillId="9" borderId="74" xfId="4" applyFont="1" applyFill="1" applyBorder="1" applyAlignment="1">
      <alignment horizontal="center" vertical="center" wrapText="1"/>
    </xf>
    <xf numFmtId="39" fontId="26" fillId="0" borderId="0" xfId="4" applyFont="1" applyAlignment="1">
      <alignment horizontal="center" vertical="center" wrapText="1"/>
    </xf>
    <xf numFmtId="39" fontId="24" fillId="9" borderId="91" xfId="4" applyFont="1" applyFill="1" applyBorder="1" applyAlignment="1">
      <alignment horizontal="center" vertical="center" wrapText="1"/>
    </xf>
    <xf numFmtId="39" fontId="24" fillId="9" borderId="1" xfId="4" applyFont="1" applyFill="1" applyBorder="1" applyAlignment="1">
      <alignment horizontal="center" vertical="center"/>
    </xf>
    <xf numFmtId="39" fontId="24" fillId="9" borderId="92" xfId="4" applyFont="1" applyFill="1" applyBorder="1" applyAlignment="1">
      <alignment horizontal="center" vertical="center" wrapText="1"/>
    </xf>
    <xf numFmtId="39" fontId="24" fillId="9" borderId="60" xfId="4" applyFont="1" applyFill="1" applyBorder="1" applyAlignment="1">
      <alignment horizontal="center" vertical="center"/>
    </xf>
    <xf numFmtId="39" fontId="24" fillId="9" borderId="8" xfId="4" applyFont="1" applyFill="1" applyBorder="1" applyAlignment="1">
      <alignment horizontal="center" vertical="center"/>
    </xf>
    <xf numFmtId="39" fontId="24" fillId="9" borderId="94" xfId="4" applyFont="1" applyFill="1" applyBorder="1" applyAlignment="1">
      <alignment horizontal="center" vertical="center"/>
    </xf>
    <xf numFmtId="39" fontId="24" fillId="9" borderId="58" xfId="4" applyFont="1" applyFill="1" applyBorder="1" applyAlignment="1">
      <alignment horizontal="center" vertical="center"/>
    </xf>
    <xf numFmtId="39" fontId="24" fillId="9" borderId="93" xfId="4" applyFont="1" applyFill="1" applyBorder="1" applyAlignment="1">
      <alignment horizontal="center" vertical="center"/>
    </xf>
    <xf numFmtId="39" fontId="24" fillId="9" borderId="59" xfId="4" applyFont="1" applyFill="1" applyBorder="1" applyAlignment="1">
      <alignment horizontal="center" vertical="center"/>
    </xf>
    <xf numFmtId="39" fontId="24" fillId="9" borderId="9" xfId="4" applyFont="1" applyFill="1" applyBorder="1" applyAlignment="1">
      <alignment horizontal="center" vertical="center"/>
    </xf>
    <xf numFmtId="39" fontId="24" fillId="9" borderId="90" xfId="4" applyFont="1" applyFill="1" applyBorder="1" applyAlignment="1">
      <alignment horizontal="center" vertical="center"/>
    </xf>
    <xf numFmtId="39" fontId="24" fillId="9" borderId="10" xfId="4" applyFont="1" applyFill="1" applyBorder="1" applyAlignment="1">
      <alignment horizontal="center" vertical="center"/>
    </xf>
    <xf numFmtId="39" fontId="24" fillId="16" borderId="66" xfId="4" applyFont="1" applyFill="1" applyBorder="1" applyAlignment="1">
      <alignment horizontal="center" vertical="center"/>
    </xf>
    <xf numFmtId="39" fontId="24" fillId="16" borderId="13" xfId="4" applyFont="1" applyFill="1" applyBorder="1" applyAlignment="1">
      <alignment horizontal="center" vertical="center"/>
    </xf>
    <xf numFmtId="39" fontId="24" fillId="16" borderId="67" xfId="4" applyFont="1" applyFill="1" applyBorder="1" applyAlignment="1">
      <alignment horizontal="center" vertical="center"/>
    </xf>
    <xf numFmtId="39" fontId="25" fillId="9" borderId="75" xfId="4" applyFont="1" applyFill="1" applyBorder="1" applyAlignment="1">
      <alignment horizontal="center" vertical="center" wrapText="1"/>
    </xf>
    <xf numFmtId="39" fontId="25" fillId="9" borderId="77" xfId="4" applyFont="1" applyFill="1" applyBorder="1" applyAlignment="1">
      <alignment horizontal="center" vertical="center" wrapText="1"/>
    </xf>
    <xf numFmtId="39" fontId="25" fillId="9" borderId="47" xfId="4" applyFont="1" applyFill="1" applyBorder="1" applyAlignment="1">
      <alignment horizontal="center" vertical="center" wrapText="1"/>
    </xf>
    <xf numFmtId="39" fontId="25" fillId="9" borderId="3" xfId="4" applyFont="1" applyFill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/>
    </xf>
    <xf numFmtId="0" fontId="34" fillId="6" borderId="1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 vertical="center"/>
    </xf>
    <xf numFmtId="0" fontId="34" fillId="6" borderId="3" xfId="0" applyFont="1" applyFill="1" applyBorder="1" applyAlignment="1">
      <alignment horizontal="center" vertical="center"/>
    </xf>
    <xf numFmtId="0" fontId="43" fillId="10" borderId="4" xfId="0" applyFont="1" applyFill="1" applyBorder="1" applyAlignment="1" applyProtection="1">
      <alignment horizontal="center" vertical="center"/>
      <protection hidden="1"/>
    </xf>
    <xf numFmtId="0" fontId="43" fillId="10" borderId="5" xfId="0" applyFont="1" applyFill="1" applyBorder="1" applyAlignment="1" applyProtection="1">
      <alignment horizontal="center" vertical="center"/>
      <protection hidden="1"/>
    </xf>
    <xf numFmtId="0" fontId="43" fillId="10" borderId="6" xfId="0" applyFont="1" applyFill="1" applyBorder="1" applyAlignment="1" applyProtection="1">
      <alignment horizontal="center" vertical="center"/>
      <protection hidden="1"/>
    </xf>
    <xf numFmtId="0" fontId="45" fillId="10" borderId="4" xfId="0" applyFont="1" applyFill="1" applyBorder="1" applyAlignment="1" applyProtection="1">
      <alignment horizontal="center" vertical="center" wrapText="1"/>
      <protection hidden="1"/>
    </xf>
    <xf numFmtId="0" fontId="45" fillId="10" borderId="5" xfId="0" applyFont="1" applyFill="1" applyBorder="1" applyAlignment="1" applyProtection="1">
      <alignment horizontal="center" vertical="center" wrapText="1"/>
      <protection hidden="1"/>
    </xf>
    <xf numFmtId="0" fontId="45" fillId="10" borderId="6" xfId="0" applyFont="1" applyFill="1" applyBorder="1" applyAlignment="1" applyProtection="1">
      <alignment horizontal="center" vertical="center" wrapText="1"/>
      <protection hidden="1"/>
    </xf>
    <xf numFmtId="0" fontId="45" fillId="6" borderId="12" xfId="0" applyFont="1" applyFill="1" applyBorder="1" applyAlignment="1" applyProtection="1">
      <alignment horizontal="center" vertical="center"/>
      <protection hidden="1"/>
    </xf>
    <xf numFmtId="0" fontId="45" fillId="6" borderId="13" xfId="0" applyFont="1" applyFill="1" applyBorder="1" applyAlignment="1" applyProtection="1">
      <alignment horizontal="center" vertical="center"/>
      <protection hidden="1"/>
    </xf>
    <xf numFmtId="0" fontId="45" fillId="6" borderId="14" xfId="0" applyFont="1" applyFill="1" applyBorder="1" applyAlignment="1" applyProtection="1">
      <alignment horizontal="center" vertical="center"/>
      <protection hidden="1"/>
    </xf>
    <xf numFmtId="0" fontId="24" fillId="0" borderId="51" xfId="10" applyFont="1" applyBorder="1" applyAlignment="1">
      <alignment horizontal="center" vertical="center"/>
    </xf>
    <xf numFmtId="0" fontId="25" fillId="7" borderId="1" xfId="10" applyFont="1" applyFill="1" applyBorder="1" applyAlignment="1">
      <alignment horizontal="right" vertical="center"/>
    </xf>
    <xf numFmtId="0" fontId="25" fillId="7" borderId="4" xfId="10" applyFont="1" applyFill="1" applyBorder="1" applyAlignment="1">
      <alignment horizontal="right" vertical="center"/>
    </xf>
    <xf numFmtId="0" fontId="24" fillId="6" borderId="105" xfId="10" applyFont="1" applyFill="1" applyBorder="1" applyAlignment="1">
      <alignment horizontal="center" vertical="center"/>
    </xf>
    <xf numFmtId="0" fontId="24" fillId="6" borderId="106" xfId="10" applyFont="1" applyFill="1" applyBorder="1" applyAlignment="1">
      <alignment horizontal="center" vertical="center"/>
    </xf>
    <xf numFmtId="0" fontId="24" fillId="6" borderId="107" xfId="10" applyFont="1" applyFill="1" applyBorder="1" applyAlignment="1">
      <alignment horizontal="center" vertical="center"/>
    </xf>
    <xf numFmtId="0" fontId="24" fillId="11" borderId="4" xfId="10" applyFont="1" applyFill="1" applyBorder="1" applyAlignment="1">
      <alignment horizontal="center" vertical="center"/>
    </xf>
    <xf numFmtId="0" fontId="24" fillId="11" borderId="5" xfId="10" applyFont="1" applyFill="1" applyBorder="1" applyAlignment="1">
      <alignment horizontal="center" vertical="center"/>
    </xf>
    <xf numFmtId="0" fontId="24" fillId="11" borderId="6" xfId="10" applyFont="1" applyFill="1" applyBorder="1" applyAlignment="1">
      <alignment horizontal="center" vertical="center"/>
    </xf>
    <xf numFmtId="0" fontId="24" fillId="15" borderId="1" xfId="10" applyFont="1" applyFill="1" applyBorder="1" applyAlignment="1">
      <alignment horizontal="right" vertical="center"/>
    </xf>
    <xf numFmtId="0" fontId="24" fillId="15" borderId="4" xfId="10" applyFont="1" applyFill="1" applyBorder="1" applyAlignment="1">
      <alignment horizontal="right" vertical="center"/>
    </xf>
    <xf numFmtId="4" fontId="24" fillId="6" borderId="102" xfId="0" applyNumberFormat="1" applyFont="1" applyFill="1" applyBorder="1" applyAlignment="1">
      <alignment horizontal="center" vertical="center" wrapText="1"/>
    </xf>
    <xf numFmtId="4" fontId="24" fillId="6" borderId="69" xfId="0" applyNumberFormat="1" applyFont="1" applyFill="1" applyBorder="1" applyAlignment="1">
      <alignment horizontal="center" vertical="center" wrapText="1"/>
    </xf>
    <xf numFmtId="177" fontId="25" fillId="0" borderId="23" xfId="0" applyNumberFormat="1" applyFont="1" applyBorder="1" applyAlignment="1">
      <alignment horizontal="justify" vertical="top"/>
    </xf>
    <xf numFmtId="177" fontId="25" fillId="0" borderId="24" xfId="0" applyNumberFormat="1" applyFont="1" applyBorder="1" applyAlignment="1">
      <alignment horizontal="justify" vertical="top"/>
    </xf>
    <xf numFmtId="177" fontId="25" fillId="0" borderId="25" xfId="0" applyNumberFormat="1" applyFont="1" applyBorder="1" applyAlignment="1">
      <alignment horizontal="justify" vertical="top"/>
    </xf>
    <xf numFmtId="177" fontId="25" fillId="0" borderId="8" xfId="0" applyNumberFormat="1" applyFont="1" applyBorder="1" applyAlignment="1">
      <alignment horizontal="justify" vertical="top"/>
    </xf>
    <xf numFmtId="177" fontId="25" fillId="0" borderId="9" xfId="0" applyNumberFormat="1" applyFont="1" applyBorder="1" applyAlignment="1">
      <alignment horizontal="justify" vertical="top"/>
    </xf>
    <xf numFmtId="177" fontId="25" fillId="0" borderId="10" xfId="0" applyNumberFormat="1" applyFont="1" applyBorder="1" applyAlignment="1">
      <alignment horizontal="justify" vertical="top"/>
    </xf>
    <xf numFmtId="0" fontId="24" fillId="10" borderId="12" xfId="0" applyFont="1" applyFill="1" applyBorder="1" applyAlignment="1" applyProtection="1">
      <alignment horizontal="center" vertical="center"/>
      <protection hidden="1"/>
    </xf>
    <xf numFmtId="0" fontId="24" fillId="10" borderId="13" xfId="0" applyFont="1" applyFill="1" applyBorder="1" applyAlignment="1" applyProtection="1">
      <alignment horizontal="center" vertical="center"/>
      <protection hidden="1"/>
    </xf>
    <xf numFmtId="0" fontId="24" fillId="10" borderId="46" xfId="0" applyFont="1" applyFill="1" applyBorder="1" applyAlignment="1" applyProtection="1">
      <alignment horizontal="center" vertical="center"/>
      <protection hidden="1"/>
    </xf>
    <xf numFmtId="177" fontId="24" fillId="6" borderId="75" xfId="0" applyNumberFormat="1" applyFont="1" applyFill="1" applyBorder="1" applyAlignment="1">
      <alignment horizontal="center" vertical="center"/>
    </xf>
    <xf numFmtId="177" fontId="24" fillId="6" borderId="77" xfId="0" applyNumberFormat="1" applyFont="1" applyFill="1" applyBorder="1" applyAlignment="1">
      <alignment horizontal="center" vertical="center"/>
    </xf>
    <xf numFmtId="0" fontId="24" fillId="6" borderId="47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4" fillId="6" borderId="48" xfId="0" applyFont="1" applyFill="1" applyBorder="1" applyAlignment="1">
      <alignment horizontal="center" vertical="center"/>
    </xf>
    <xf numFmtId="0" fontId="24" fillId="6" borderId="49" xfId="0" applyFont="1" applyFill="1" applyBorder="1" applyAlignment="1">
      <alignment horizontal="center" vertical="center"/>
    </xf>
    <xf numFmtId="0" fontId="24" fillId="6" borderId="9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36" fillId="7" borderId="66" xfId="8" applyFont="1" applyFill="1" applyBorder="1" applyAlignment="1">
      <alignment horizontal="center" vertical="center"/>
    </xf>
    <xf numFmtId="0" fontId="36" fillId="7" borderId="13" xfId="8" applyFont="1" applyFill="1" applyBorder="1" applyAlignment="1">
      <alignment horizontal="center" vertical="center"/>
    </xf>
    <xf numFmtId="0" fontId="36" fillId="7" borderId="67" xfId="8" applyFont="1" applyFill="1" applyBorder="1" applyAlignment="1">
      <alignment horizontal="center" vertical="center"/>
    </xf>
    <xf numFmtId="0" fontId="34" fillId="6" borderId="11" xfId="8" applyFont="1" applyFill="1" applyBorder="1" applyAlignment="1">
      <alignment horizontal="center" vertical="center" wrapText="1"/>
    </xf>
    <xf numFmtId="0" fontId="34" fillId="6" borderId="15" xfId="8" applyFont="1" applyFill="1" applyBorder="1" applyAlignment="1">
      <alignment horizontal="center" vertical="center"/>
    </xf>
    <xf numFmtId="0" fontId="34" fillId="6" borderId="8" xfId="8" applyFont="1" applyFill="1" applyBorder="1" applyAlignment="1">
      <alignment horizontal="center" vertical="center"/>
    </xf>
    <xf numFmtId="0" fontId="34" fillId="6" borderId="10" xfId="8" applyFont="1" applyFill="1" applyBorder="1" applyAlignment="1">
      <alignment horizontal="center" vertical="center"/>
    </xf>
    <xf numFmtId="0" fontId="34" fillId="6" borderId="110" xfId="8" applyFont="1" applyFill="1" applyBorder="1" applyAlignment="1">
      <alignment horizontal="center" vertical="center" wrapText="1"/>
    </xf>
    <xf numFmtId="0" fontId="34" fillId="6" borderId="110" xfId="8" applyFont="1" applyFill="1" applyBorder="1" applyAlignment="1">
      <alignment horizontal="center" vertical="center"/>
    </xf>
    <xf numFmtId="0" fontId="34" fillId="6" borderId="77" xfId="8" applyFont="1" applyFill="1" applyBorder="1" applyAlignment="1">
      <alignment horizontal="center" vertical="center"/>
    </xf>
    <xf numFmtId="0" fontId="34" fillId="6" borderId="68" xfId="8" applyFont="1" applyFill="1" applyBorder="1" applyAlignment="1">
      <alignment horizontal="center" vertical="center"/>
    </xf>
    <xf numFmtId="0" fontId="34" fillId="6" borderId="70" xfId="8" applyFont="1" applyFill="1" applyBorder="1" applyAlignment="1">
      <alignment horizontal="center" vertical="center"/>
    </xf>
    <xf numFmtId="0" fontId="34" fillId="6" borderId="7" xfId="8" applyFont="1" applyFill="1" applyBorder="1" applyAlignment="1">
      <alignment horizontal="center" vertical="center"/>
    </xf>
    <xf numFmtId="0" fontId="34" fillId="6" borderId="3" xfId="8" applyFont="1" applyFill="1" applyBorder="1" applyAlignment="1">
      <alignment horizontal="center" vertical="center"/>
    </xf>
    <xf numFmtId="0" fontId="34" fillId="6" borderId="1" xfId="8" applyFont="1" applyFill="1" applyBorder="1" applyAlignment="1">
      <alignment horizontal="center" vertical="center"/>
    </xf>
    <xf numFmtId="0" fontId="34" fillId="6" borderId="2" xfId="8" applyFont="1" applyFill="1" applyBorder="1" applyAlignment="1">
      <alignment horizontal="center" vertical="center"/>
    </xf>
    <xf numFmtId="0" fontId="36" fillId="7" borderId="108" xfId="8" applyFont="1" applyFill="1" applyBorder="1" applyAlignment="1">
      <alignment horizontal="center" vertical="center"/>
    </xf>
    <xf numFmtId="0" fontId="36" fillId="7" borderId="57" xfId="8" applyFont="1" applyFill="1" applyBorder="1" applyAlignment="1">
      <alignment horizontal="center" vertical="center"/>
    </xf>
    <xf numFmtId="0" fontId="36" fillId="7" borderId="109" xfId="8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165" fontId="0" fillId="0" borderId="4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8" xfId="0" applyNumberForma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165" fontId="1" fillId="7" borderId="2" xfId="0" applyNumberFormat="1" applyFont="1" applyFill="1" applyBorder="1" applyAlignment="1">
      <alignment horizontal="center" vertical="center" wrapText="1"/>
    </xf>
    <xf numFmtId="165" fontId="1" fillId="7" borderId="7" xfId="0" applyNumberFormat="1" applyFont="1" applyFill="1" applyBorder="1" applyAlignment="1">
      <alignment horizontal="center" vertical="center" wrapText="1"/>
    </xf>
    <xf numFmtId="0" fontId="1" fillId="7" borderId="69" xfId="0" applyFont="1" applyFill="1" applyBorder="1" applyAlignment="1">
      <alignment horizontal="center" vertical="center" wrapText="1"/>
    </xf>
    <xf numFmtId="0" fontId="1" fillId="7" borderId="7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1" fillId="7" borderId="68" xfId="0" applyFont="1" applyFill="1" applyBorder="1" applyAlignment="1">
      <alignment horizontal="center" vertical="center"/>
    </xf>
    <xf numFmtId="0" fontId="1" fillId="7" borderId="70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1" fillId="14" borderId="108" xfId="0" applyFont="1" applyFill="1" applyBorder="1" applyAlignment="1">
      <alignment horizontal="center" vertical="center"/>
    </xf>
    <xf numFmtId="0" fontId="1" fillId="14" borderId="57" xfId="0" applyFont="1" applyFill="1" applyBorder="1" applyAlignment="1">
      <alignment horizontal="center" vertical="center"/>
    </xf>
    <xf numFmtId="0" fontId="1" fillId="14" borderId="109" xfId="0" applyFont="1" applyFill="1" applyBorder="1" applyAlignment="1">
      <alignment horizontal="center" vertical="center"/>
    </xf>
    <xf numFmtId="0" fontId="1" fillId="14" borderId="72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14" borderId="73" xfId="0" applyFont="1" applyFill="1" applyBorder="1" applyAlignment="1">
      <alignment horizontal="center" vertical="center"/>
    </xf>
    <xf numFmtId="0" fontId="0" fillId="0" borderId="110" xfId="0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17" borderId="5" xfId="0" applyFont="1" applyFill="1" applyBorder="1" applyAlignment="1">
      <alignment horizontal="center" vertical="center"/>
    </xf>
    <xf numFmtId="0" fontId="12" fillId="17" borderId="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right" vertical="center"/>
    </xf>
    <xf numFmtId="0" fontId="12" fillId="6" borderId="5" xfId="0" applyFont="1" applyFill="1" applyBorder="1" applyAlignment="1">
      <alignment horizontal="right" vertical="center"/>
    </xf>
    <xf numFmtId="0" fontId="12" fillId="6" borderId="6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justify" vertical="top" wrapText="1"/>
    </xf>
    <xf numFmtId="0" fontId="20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justify" vertical="top" wrapText="1"/>
    </xf>
    <xf numFmtId="0" fontId="1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17">
    <cellStyle name="Hiperlink" xfId="5" builtinId="8"/>
    <cellStyle name="Moeda" xfId="2" builtinId="4"/>
    <cellStyle name="Moeda 2" xfId="16"/>
    <cellStyle name="Normal" xfId="0" builtinId="0"/>
    <cellStyle name="Normal - Estilo5 2" xfId="7"/>
    <cellStyle name="Normal 2" xfId="10"/>
    <cellStyle name="Normal 2 2 20" xfId="1"/>
    <cellStyle name="Normal 6" xfId="4"/>
    <cellStyle name="Normal 7" xfId="12"/>
    <cellStyle name="Normal 9" xfId="8"/>
    <cellStyle name="Normal_22ª Plan. DNIT ISSQN Med Maio-06" xfId="6"/>
    <cellStyle name="Porcentagem" xfId="3" builtinId="5"/>
    <cellStyle name="Porcentagem 2" xfId="9"/>
    <cellStyle name="Porcentagem_PATO_471_MAI_2011sicrojan2011" xfId="15"/>
    <cellStyle name="Separador de milhares_PATO_471_MAI_2011sicrojan2011" xfId="14"/>
    <cellStyle name="Vírgula" xfId="11" builtinId="3"/>
    <cellStyle name="Vírgula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244489</xdr:colOff>
      <xdr:row>9</xdr:row>
      <xdr:rowOff>110572</xdr:rowOff>
    </xdr:from>
    <xdr:to>
      <xdr:col>1</xdr:col>
      <xdr:colOff>748489</xdr:colOff>
      <xdr:row>12</xdr:row>
      <xdr:rowOff>45416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789" y="1729822"/>
          <a:ext cx="504000" cy="506344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190499</xdr:colOff>
      <xdr:row>16</xdr:row>
      <xdr:rowOff>57150</xdr:rowOff>
    </xdr:from>
    <xdr:to>
      <xdr:col>1</xdr:col>
      <xdr:colOff>694499</xdr:colOff>
      <xdr:row>18</xdr:row>
      <xdr:rowOff>166656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799" y="3019425"/>
          <a:ext cx="504000" cy="500031"/>
        </a:xfrm>
        <a:prstGeom prst="rect">
          <a:avLst/>
        </a:prstGeom>
      </xdr:spPr>
    </xdr:pic>
    <xdr:clientData/>
  </xdr:twoCellAnchor>
  <xdr:oneCellAnchor>
    <xdr:from>
      <xdr:col>1</xdr:col>
      <xdr:colOff>390526</xdr:colOff>
      <xdr:row>44</xdr:row>
      <xdr:rowOff>65483</xdr:rowOff>
    </xdr:from>
    <xdr:ext cx="151957" cy="475911"/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826" y="8304608"/>
          <a:ext cx="151957" cy="475911"/>
        </a:xfrm>
        <a:prstGeom prst="rect">
          <a:avLst/>
        </a:prstGeom>
      </xdr:spPr>
    </xdr:pic>
    <xdr:clientData/>
  </xdr:oneCellAnchor>
  <xdr:twoCellAnchor editAs="oneCell">
    <xdr:from>
      <xdr:col>1</xdr:col>
      <xdr:colOff>209550</xdr:colOff>
      <xdr:row>36</xdr:row>
      <xdr:rowOff>57150</xdr:rowOff>
    </xdr:from>
    <xdr:to>
      <xdr:col>1</xdr:col>
      <xdr:colOff>700352</xdr:colOff>
      <xdr:row>38</xdr:row>
      <xdr:rowOff>125016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4876800"/>
          <a:ext cx="490802" cy="45839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28</xdr:row>
      <xdr:rowOff>28575</xdr:rowOff>
    </xdr:from>
    <xdr:to>
      <xdr:col>1</xdr:col>
      <xdr:colOff>902100</xdr:colOff>
      <xdr:row>30</xdr:row>
      <xdr:rowOff>73191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338B813-9E1D-4CC0-9FA1-80174F42AD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2544" t="55365" r="53248" b="24792"/>
        <a:stretch/>
      </xdr:blipFill>
      <xdr:spPr>
        <a:xfrm>
          <a:off x="152400" y="5343525"/>
          <a:ext cx="864000" cy="425616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</xdr:row>
      <xdr:rowOff>47625</xdr:rowOff>
    </xdr:from>
    <xdr:to>
      <xdr:col>1</xdr:col>
      <xdr:colOff>704025</xdr:colOff>
      <xdr:row>21</xdr:row>
      <xdr:rowOff>161100</xdr:rowOff>
    </xdr:to>
    <xdr:pic>
      <xdr:nvPicPr>
        <xdr:cNvPr id="14" name="Imagem 13" descr="Placas-de-transito-Aprova-Detran-vire-a-direita-R-25b">
          <a:extLst>
            <a:ext uri="{FF2B5EF4-FFF2-40B4-BE49-F238E27FC236}">
              <a16:creationId xmlns:a16="http://schemas.microsoft.com/office/drawing/2014/main" id="{FE673DE5-C3F7-4D21-88DE-429CE50F8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600450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39</xdr:row>
      <xdr:rowOff>38100</xdr:rowOff>
    </xdr:from>
    <xdr:to>
      <xdr:col>1</xdr:col>
      <xdr:colOff>684975</xdr:colOff>
      <xdr:row>41</xdr:row>
      <xdr:rowOff>151575</xdr:rowOff>
    </xdr:to>
    <xdr:pic>
      <xdr:nvPicPr>
        <xdr:cNvPr id="20" name="Imagem 19" descr="Placas-de-transito-Aprova-Detran-saliencia-ou-lombada-A-18">
          <a:extLst>
            <a:ext uri="{FF2B5EF4-FFF2-40B4-BE49-F238E27FC236}">
              <a16:creationId xmlns:a16="http://schemas.microsoft.com/office/drawing/2014/main" id="{57FBA50E-FFB6-4F06-B9F7-50EC108EF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296150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400049</xdr:colOff>
      <xdr:row>47</xdr:row>
      <xdr:rowOff>57151</xdr:rowOff>
    </xdr:from>
    <xdr:to>
      <xdr:col>1</xdr:col>
      <xdr:colOff>551249</xdr:colOff>
      <xdr:row>49</xdr:row>
      <xdr:rowOff>118120</xdr:rowOff>
    </xdr:to>
    <xdr:pic>
      <xdr:nvPicPr>
        <xdr:cNvPr id="24" name="Imagem 23" descr="Placas-de-transito-Aprova-Detran-marcador-de-perigo-3">
          <a:extLst>
            <a:ext uri="{FF2B5EF4-FFF2-40B4-BE49-F238E27FC236}">
              <a16:creationId xmlns:a16="http://schemas.microsoft.com/office/drawing/2014/main" id="{17A007D9-5B2E-4C50-9B87-EA14BA3255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631" b="19718"/>
        <a:stretch/>
      </xdr:blipFill>
      <xdr:spPr bwMode="auto">
        <a:xfrm>
          <a:off x="514349" y="8867776"/>
          <a:ext cx="151200" cy="441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31</xdr:row>
      <xdr:rowOff>95250</xdr:rowOff>
    </xdr:from>
    <xdr:to>
      <xdr:col>1</xdr:col>
      <xdr:colOff>892575</xdr:colOff>
      <xdr:row>33</xdr:row>
      <xdr:rowOff>139866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711129DE-4BDB-4FB3-B7A7-BE9CA15FB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2544" t="55365" r="53248" b="24792"/>
        <a:stretch/>
      </xdr:blipFill>
      <xdr:spPr>
        <a:xfrm>
          <a:off x="142875" y="6172200"/>
          <a:ext cx="864000" cy="42561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22</xdr:row>
      <xdr:rowOff>38100</xdr:rowOff>
    </xdr:from>
    <xdr:to>
      <xdr:col>1</xdr:col>
      <xdr:colOff>694500</xdr:colOff>
      <xdr:row>24</xdr:row>
      <xdr:rowOff>161100</xdr:rowOff>
    </xdr:to>
    <xdr:pic>
      <xdr:nvPicPr>
        <xdr:cNvPr id="28" name="Imagem 27" descr="Placas-de-transito-Aprova-Detran-proibido-virar-a-esquerda-R-4a">
          <a:extLst>
            <a:ext uri="{FF2B5EF4-FFF2-40B4-BE49-F238E27FC236}">
              <a16:creationId xmlns:a16="http://schemas.microsoft.com/office/drawing/2014/main" id="{A7B7E45A-1B36-4C59-BB0E-73E0EE2B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171950"/>
          <a:ext cx="504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induscon-rs.com.br/cub-rs/" TargetMode="External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assuntos/precos-e-defesa-da-concorrencia/precos/precos-de-distribuicao-de-produtos-asfalticos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gov.br/anp/pt-br/assuntos/precos-e-defesa-da-concorrencia/precos/precos-de-distribuicao-de-produtos-asfalticos" TargetMode="Externa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P20" sqref="P20"/>
    </sheetView>
  </sheetViews>
  <sheetFormatPr defaultRowHeight="15" x14ac:dyDescent="0.25"/>
  <cols>
    <col min="1" max="1" width="16.85546875" style="1" customWidth="1"/>
    <col min="2" max="2" width="27.42578125" style="1" bestFit="1" customWidth="1"/>
    <col min="3" max="16384" width="9.140625" style="1"/>
  </cols>
  <sheetData>
    <row r="1" spans="1:2" x14ac:dyDescent="0.25">
      <c r="A1" s="37" t="s">
        <v>232</v>
      </c>
      <c r="B1" s="36" t="s">
        <v>236</v>
      </c>
    </row>
    <row r="2" spans="1:2" x14ac:dyDescent="0.25">
      <c r="A2" s="37" t="s">
        <v>234</v>
      </c>
      <c r="B2" s="36" t="s">
        <v>449</v>
      </c>
    </row>
    <row r="3" spans="1:2" x14ac:dyDescent="0.25">
      <c r="A3" s="37" t="s">
        <v>237</v>
      </c>
      <c r="B3" s="36" t="s">
        <v>230</v>
      </c>
    </row>
    <row r="4" spans="1:2" x14ac:dyDescent="0.25">
      <c r="A4" s="37" t="s">
        <v>235</v>
      </c>
      <c r="B4" s="36" t="s">
        <v>245</v>
      </c>
    </row>
    <row r="5" spans="1:2" x14ac:dyDescent="0.25">
      <c r="A5" s="685" t="s">
        <v>562</v>
      </c>
      <c r="B5" s="309">
        <v>44835</v>
      </c>
    </row>
    <row r="6" spans="1:2" x14ac:dyDescent="0.25">
      <c r="A6" s="686"/>
      <c r="B6" s="310" t="s">
        <v>564</v>
      </c>
    </row>
    <row r="7" spans="1:2" x14ac:dyDescent="0.25">
      <c r="A7" s="685" t="s">
        <v>563</v>
      </c>
      <c r="B7" s="309">
        <v>44958</v>
      </c>
    </row>
    <row r="8" spans="1:2" x14ac:dyDescent="0.25">
      <c r="A8" s="686"/>
      <c r="B8" s="310" t="s">
        <v>565</v>
      </c>
    </row>
  </sheetData>
  <mergeCells count="2">
    <mergeCell ref="A5:A6"/>
    <mergeCell ref="A7:A8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view="pageBreakPreview" zoomScale="110" zoomScaleNormal="75" zoomScaleSheetLayoutView="110" workbookViewId="0">
      <pane ySplit="4" topLeftCell="A5" activePane="bottomLeft" state="frozen"/>
      <selection activeCell="C7" sqref="C7"/>
      <selection pane="bottomLeft" activeCell="G41" sqref="G41"/>
    </sheetView>
  </sheetViews>
  <sheetFormatPr defaultColWidth="14.140625" defaultRowHeight="12.75" x14ac:dyDescent="0.25"/>
  <cols>
    <col min="1" max="1" width="1" style="134" customWidth="1"/>
    <col min="2" max="2" width="11.28515625" style="134" customWidth="1"/>
    <col min="3" max="3" width="73" style="134" customWidth="1"/>
    <col min="4" max="4" width="9.85546875" style="134" customWidth="1"/>
    <col min="5" max="5" width="12.85546875" style="479" customWidth="1"/>
    <col min="6" max="6" width="12.85546875" style="134" customWidth="1"/>
    <col min="7" max="7" width="12.85546875" style="479" customWidth="1"/>
    <col min="8" max="8" width="1" style="134" customWidth="1"/>
    <col min="9" max="16384" width="14.140625" style="134"/>
  </cols>
  <sheetData>
    <row r="1" spans="1:11" ht="5.0999999999999996" customHeight="1" thickBot="1" x14ac:dyDescent="0.3">
      <c r="A1" s="433"/>
      <c r="B1" s="768"/>
      <c r="C1" s="768"/>
      <c r="D1" s="768"/>
      <c r="E1" s="768"/>
      <c r="F1" s="768"/>
      <c r="G1" s="768"/>
      <c r="H1" s="434"/>
    </row>
    <row r="2" spans="1:11" ht="14.25" thickTop="1" thickBot="1" x14ac:dyDescent="0.3">
      <c r="A2" s="435"/>
      <c r="B2" s="771" t="s">
        <v>344</v>
      </c>
      <c r="C2" s="772"/>
      <c r="D2" s="772"/>
      <c r="E2" s="772"/>
      <c r="F2" s="772"/>
      <c r="G2" s="773"/>
      <c r="H2" s="436"/>
    </row>
    <row r="3" spans="1:11" ht="5.0999999999999996" customHeight="1" thickTop="1" x14ac:dyDescent="0.25">
      <c r="E3" s="134"/>
      <c r="G3" s="134"/>
      <c r="I3" s="435"/>
    </row>
    <row r="4" spans="1:11" ht="25.5" x14ac:dyDescent="0.25">
      <c r="A4" s="435"/>
      <c r="B4" s="437" t="s">
        <v>74</v>
      </c>
      <c r="C4" s="437" t="s">
        <v>345</v>
      </c>
      <c r="D4" s="437" t="s">
        <v>12</v>
      </c>
      <c r="E4" s="438" t="s">
        <v>15</v>
      </c>
      <c r="F4" s="437" t="s">
        <v>0</v>
      </c>
      <c r="G4" s="439" t="s">
        <v>16</v>
      </c>
      <c r="H4" s="436"/>
      <c r="I4" s="440"/>
    </row>
    <row r="5" spans="1:11" x14ac:dyDescent="0.25">
      <c r="A5" s="435"/>
      <c r="B5" s="774" t="s">
        <v>358</v>
      </c>
      <c r="C5" s="775"/>
      <c r="D5" s="775"/>
      <c r="E5" s="775"/>
      <c r="F5" s="775"/>
      <c r="G5" s="776"/>
      <c r="H5" s="436"/>
    </row>
    <row r="6" spans="1:11" x14ac:dyDescent="0.25">
      <c r="A6" s="435"/>
      <c r="B6" s="441">
        <v>5502985</v>
      </c>
      <c r="C6" s="442" t="s">
        <v>17</v>
      </c>
      <c r="D6" s="443" t="s">
        <v>3</v>
      </c>
      <c r="E6" s="444">
        <v>0.45</v>
      </c>
      <c r="F6" s="445">
        <v>90</v>
      </c>
      <c r="G6" s="446">
        <f t="shared" ref="G6:G10" si="0">IFERROR(TRUNC(E6*F6,2),"")</f>
        <v>40.5</v>
      </c>
      <c r="H6" s="436"/>
      <c r="J6" s="447"/>
      <c r="K6" s="448"/>
    </row>
    <row r="7" spans="1:11" x14ac:dyDescent="0.25">
      <c r="A7" s="435"/>
      <c r="B7" s="441">
        <v>4011209</v>
      </c>
      <c r="C7" s="442" t="s">
        <v>27</v>
      </c>
      <c r="D7" s="443" t="s">
        <v>3</v>
      </c>
      <c r="E7" s="444">
        <v>1.05</v>
      </c>
      <c r="F7" s="445">
        <v>90</v>
      </c>
      <c r="G7" s="446">
        <f t="shared" si="0"/>
        <v>94.5</v>
      </c>
      <c r="H7" s="436"/>
      <c r="J7" s="447"/>
      <c r="K7" s="449"/>
    </row>
    <row r="8" spans="1:11" x14ac:dyDescent="0.25">
      <c r="A8" s="435"/>
      <c r="B8" s="441">
        <v>4011211</v>
      </c>
      <c r="C8" s="442" t="s">
        <v>374</v>
      </c>
      <c r="D8" s="443" t="s">
        <v>2</v>
      </c>
      <c r="E8" s="444">
        <v>11.09</v>
      </c>
      <c r="F8" s="445">
        <f>F6*0.2</f>
        <v>18</v>
      </c>
      <c r="G8" s="446">
        <f t="shared" si="0"/>
        <v>199.62</v>
      </c>
      <c r="H8" s="436"/>
    </row>
    <row r="9" spans="1:11" x14ac:dyDescent="0.25">
      <c r="A9" s="435"/>
      <c r="B9" s="441">
        <v>903845</v>
      </c>
      <c r="C9" s="442" t="s">
        <v>375</v>
      </c>
      <c r="D9" s="443" t="s">
        <v>2</v>
      </c>
      <c r="E9" s="444">
        <v>114.45</v>
      </c>
      <c r="F9" s="445">
        <f>F6*0.1</f>
        <v>9</v>
      </c>
      <c r="G9" s="446">
        <f t="shared" si="0"/>
        <v>1030.05</v>
      </c>
      <c r="H9" s="436"/>
    </row>
    <row r="10" spans="1:11" x14ac:dyDescent="0.25">
      <c r="A10" s="435"/>
      <c r="B10" s="441">
        <v>3713608</v>
      </c>
      <c r="C10" s="442" t="s">
        <v>376</v>
      </c>
      <c r="D10" s="443" t="s">
        <v>4</v>
      </c>
      <c r="E10" s="444">
        <v>18.940000000000001</v>
      </c>
      <c r="F10" s="445">
        <f>4*ROUND(SQRT(F6),0)</f>
        <v>36</v>
      </c>
      <c r="G10" s="446">
        <f t="shared" si="0"/>
        <v>681.84</v>
      </c>
      <c r="H10" s="436"/>
    </row>
    <row r="11" spans="1:11" x14ac:dyDescent="0.25">
      <c r="E11" s="134"/>
      <c r="G11" s="134"/>
    </row>
    <row r="12" spans="1:11" ht="13.5" x14ac:dyDescent="0.25">
      <c r="A12" s="435"/>
      <c r="B12" s="450" t="s">
        <v>385</v>
      </c>
      <c r="C12" s="451"/>
      <c r="D12" s="452"/>
      <c r="E12" s="453"/>
      <c r="F12" s="454"/>
      <c r="G12" s="455"/>
      <c r="H12" s="436"/>
      <c r="I12" s="440"/>
    </row>
    <row r="13" spans="1:11" x14ac:dyDescent="0.25">
      <c r="A13" s="435"/>
      <c r="B13" s="441" t="s">
        <v>346</v>
      </c>
      <c r="C13" s="442" t="s">
        <v>377</v>
      </c>
      <c r="D13" s="443" t="s">
        <v>1</v>
      </c>
      <c r="E13" s="444">
        <v>56219.945399999997</v>
      </c>
      <c r="F13" s="445">
        <v>1</v>
      </c>
      <c r="G13" s="446">
        <f t="shared" ref="G13" si="1">TRUNC(E13*F13,2)</f>
        <v>56219.94</v>
      </c>
      <c r="H13" s="436"/>
    </row>
    <row r="14" spans="1:11" ht="13.5" x14ac:dyDescent="0.25">
      <c r="A14" s="435"/>
      <c r="B14" s="450" t="s">
        <v>384</v>
      </c>
      <c r="C14" s="451"/>
      <c r="D14" s="452"/>
      <c r="E14" s="456"/>
      <c r="F14" s="454"/>
      <c r="G14" s="455"/>
      <c r="H14" s="436"/>
      <c r="I14" s="440"/>
    </row>
    <row r="15" spans="1:11" x14ac:dyDescent="0.25">
      <c r="A15" s="435"/>
      <c r="B15" s="441" t="s">
        <v>347</v>
      </c>
      <c r="C15" s="442" t="s">
        <v>378</v>
      </c>
      <c r="D15" s="443" t="s">
        <v>1</v>
      </c>
      <c r="E15" s="444">
        <v>39362.076500000003</v>
      </c>
      <c r="F15" s="445">
        <v>1</v>
      </c>
      <c r="G15" s="446">
        <f t="shared" ref="G15" si="2">TRUNC(E15*F15,2)</f>
        <v>39362.07</v>
      </c>
      <c r="H15" s="436"/>
    </row>
    <row r="16" spans="1:11" ht="13.5" x14ac:dyDescent="0.25">
      <c r="A16" s="435"/>
      <c r="B16" s="450" t="s">
        <v>383</v>
      </c>
      <c r="C16" s="451"/>
      <c r="D16" s="452"/>
      <c r="E16" s="456"/>
      <c r="F16" s="454"/>
      <c r="G16" s="455"/>
      <c r="H16" s="436"/>
      <c r="I16" s="440"/>
    </row>
    <row r="17" spans="1:9" x14ac:dyDescent="0.25">
      <c r="A17" s="435"/>
      <c r="B17" s="441" t="s">
        <v>348</v>
      </c>
      <c r="C17" s="442" t="s">
        <v>379</v>
      </c>
      <c r="D17" s="443" t="s">
        <v>1</v>
      </c>
      <c r="E17" s="444">
        <v>40189.2984</v>
      </c>
      <c r="F17" s="445">
        <v>1</v>
      </c>
      <c r="G17" s="446">
        <f t="shared" ref="G17" si="3">TRUNC(E17*F17,2)</f>
        <v>40189.29</v>
      </c>
      <c r="H17" s="436"/>
    </row>
    <row r="18" spans="1:9" x14ac:dyDescent="0.25">
      <c r="E18" s="134"/>
      <c r="G18" s="134"/>
    </row>
    <row r="19" spans="1:9" x14ac:dyDescent="0.25">
      <c r="A19" s="435"/>
      <c r="B19" s="457"/>
      <c r="C19" s="458"/>
      <c r="D19" s="459"/>
      <c r="E19" s="460"/>
      <c r="F19" s="461" t="s">
        <v>575</v>
      </c>
      <c r="G19" s="462">
        <f>SUM(G6:G17)</f>
        <v>137817.81</v>
      </c>
      <c r="H19" s="436"/>
    </row>
    <row r="20" spans="1:9" ht="13.5" x14ac:dyDescent="0.25">
      <c r="B20" s="463"/>
      <c r="C20" s="464"/>
      <c r="D20" s="464"/>
      <c r="E20" s="465"/>
      <c r="F20" s="466" t="s">
        <v>386</v>
      </c>
      <c r="G20" s="467">
        <v>1.05</v>
      </c>
    </row>
    <row r="21" spans="1:9" x14ac:dyDescent="0.25">
      <c r="B21" s="468"/>
      <c r="C21" s="469"/>
      <c r="D21" s="469"/>
      <c r="E21" s="470"/>
      <c r="F21" s="471" t="s">
        <v>382</v>
      </c>
      <c r="G21" s="472">
        <v>6</v>
      </c>
    </row>
    <row r="22" spans="1:9" ht="13.5" x14ac:dyDescent="0.25">
      <c r="B22" s="463"/>
      <c r="C22" s="464"/>
      <c r="D22" s="464"/>
      <c r="E22" s="465"/>
      <c r="F22" s="466" t="s">
        <v>349</v>
      </c>
      <c r="G22" s="473">
        <f>1+(0.0008*G21)</f>
        <v>1.0047999999999999</v>
      </c>
    </row>
    <row r="23" spans="1:9" ht="13.5" x14ac:dyDescent="0.25">
      <c r="B23" s="463"/>
      <c r="C23" s="464"/>
      <c r="D23" s="464"/>
      <c r="E23" s="465"/>
      <c r="F23" s="466" t="s">
        <v>350</v>
      </c>
      <c r="G23" s="473">
        <f>F6</f>
        <v>90</v>
      </c>
    </row>
    <row r="24" spans="1:9" ht="13.5" x14ac:dyDescent="0.25">
      <c r="B24" s="463"/>
      <c r="C24" s="464"/>
      <c r="D24" s="464"/>
      <c r="E24" s="465"/>
      <c r="F24" s="466" t="s">
        <v>351</v>
      </c>
      <c r="G24" s="474">
        <v>0.03</v>
      </c>
    </row>
    <row r="25" spans="1:9" ht="13.5" x14ac:dyDescent="0.25">
      <c r="B25" s="463"/>
      <c r="C25" s="464"/>
      <c r="D25" s="464"/>
      <c r="E25" s="465"/>
      <c r="F25" s="466" t="s">
        <v>352</v>
      </c>
      <c r="G25" s="475">
        <v>1140.8</v>
      </c>
      <c r="I25" s="476" t="s">
        <v>442</v>
      </c>
    </row>
    <row r="26" spans="1:9" ht="13.5" x14ac:dyDescent="0.25">
      <c r="B26" s="463"/>
      <c r="C26" s="464"/>
      <c r="D26" s="464"/>
      <c r="E26" s="465"/>
      <c r="F26" s="466" t="s">
        <v>353</v>
      </c>
      <c r="G26" s="473">
        <v>1</v>
      </c>
    </row>
    <row r="27" spans="1:9" ht="13.5" x14ac:dyDescent="0.25">
      <c r="A27" s="435"/>
      <c r="B27" s="777" t="s">
        <v>636</v>
      </c>
      <c r="C27" s="777"/>
      <c r="D27" s="777"/>
      <c r="E27" s="777"/>
      <c r="F27" s="778"/>
      <c r="G27" s="477">
        <f>(((G20*G22*G19)/10)+(G23*G24*G25))*G26</f>
        <v>17620.490226239999</v>
      </c>
      <c r="H27" s="436"/>
      <c r="I27" s="478"/>
    </row>
    <row r="29" spans="1:9" ht="13.5" x14ac:dyDescent="0.25">
      <c r="A29" s="435"/>
      <c r="B29" s="463"/>
      <c r="C29" s="464"/>
      <c r="D29" s="464"/>
      <c r="E29" s="465"/>
      <c r="F29" s="466" t="s">
        <v>354</v>
      </c>
      <c r="G29" s="473">
        <v>14.86</v>
      </c>
      <c r="H29" s="436"/>
    </row>
    <row r="30" spans="1:9" ht="13.5" x14ac:dyDescent="0.25">
      <c r="A30" s="435"/>
      <c r="B30" s="463"/>
      <c r="C30" s="464"/>
      <c r="D30" s="464"/>
      <c r="E30" s="465"/>
      <c r="F30" s="466" t="s">
        <v>355</v>
      </c>
      <c r="G30" s="474">
        <v>0.6</v>
      </c>
      <c r="H30" s="436"/>
    </row>
    <row r="31" spans="1:9" ht="13.5" x14ac:dyDescent="0.25">
      <c r="A31" s="435"/>
      <c r="B31" s="463"/>
      <c r="C31" s="464"/>
      <c r="D31" s="464"/>
      <c r="E31" s="465"/>
      <c r="F31" s="466" t="s">
        <v>356</v>
      </c>
      <c r="G31" s="467">
        <v>0.5</v>
      </c>
      <c r="H31" s="436"/>
    </row>
    <row r="32" spans="1:9" ht="13.5" x14ac:dyDescent="0.25">
      <c r="A32" s="435"/>
      <c r="B32" s="777" t="s">
        <v>637</v>
      </c>
      <c r="C32" s="777"/>
      <c r="D32" s="777"/>
      <c r="E32" s="777"/>
      <c r="F32" s="778"/>
      <c r="G32" s="477">
        <f>G25*(G31*G20*G22*G29*G30*G26)</f>
        <v>5365.6025794560001</v>
      </c>
      <c r="H32" s="436"/>
      <c r="I32" s="478"/>
    </row>
    <row r="33" spans="1:8" x14ac:dyDescent="0.25">
      <c r="A33" s="435"/>
      <c r="H33" s="480"/>
    </row>
    <row r="34" spans="1:8" ht="13.5" x14ac:dyDescent="0.25">
      <c r="A34" s="481"/>
      <c r="B34" s="769" t="s">
        <v>357</v>
      </c>
      <c r="C34" s="769"/>
      <c r="D34" s="769"/>
      <c r="E34" s="769"/>
      <c r="F34" s="770"/>
      <c r="G34" s="482">
        <f>G27+G32</f>
        <v>22986.092805696</v>
      </c>
      <c r="H34" s="483"/>
    </row>
  </sheetData>
  <mergeCells count="6">
    <mergeCell ref="B1:G1"/>
    <mergeCell ref="B34:F34"/>
    <mergeCell ref="B2:G2"/>
    <mergeCell ref="B5:G5"/>
    <mergeCell ref="B27:F27"/>
    <mergeCell ref="B32:F32"/>
  </mergeCells>
  <hyperlinks>
    <hyperlink ref="I25" r:id="rId1"/>
  </hyperlinks>
  <printOptions horizontalCentered="1"/>
  <pageMargins left="0.59055118110236227" right="0.39370078740157483" top="0.59055118110236227" bottom="0.59055118110236227" header="0.19685039370078741" footer="0.19685039370078741"/>
  <pageSetup paperSize="9" firstPageNumber="0" fitToHeight="0" orientation="landscape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view="pageBreakPreview" zoomScaleNormal="100" zoomScaleSheetLayoutView="100" workbookViewId="0">
      <pane ySplit="5" topLeftCell="A21" activePane="bottomLeft" state="frozen"/>
      <selection activeCell="C7" sqref="C7"/>
      <selection pane="bottomLeft" activeCell="J31" sqref="J31"/>
    </sheetView>
  </sheetViews>
  <sheetFormatPr defaultRowHeight="15" x14ac:dyDescent="0.25"/>
  <cols>
    <col min="1" max="1" width="0.85546875" style="361" customWidth="1"/>
    <col min="2" max="2" width="7.140625" style="361" bestFit="1" customWidth="1"/>
    <col min="3" max="3" width="42.85546875" style="361" customWidth="1"/>
    <col min="4" max="4" width="7.28515625" style="361" bestFit="1" customWidth="1"/>
    <col min="5" max="6" width="9.28515625" style="361" customWidth="1"/>
    <col min="7" max="10" width="7.5703125" style="361" customWidth="1"/>
    <col min="11" max="12" width="9.85546875" style="361" customWidth="1"/>
    <col min="13" max="13" width="0.85546875" style="361" customWidth="1"/>
    <col min="14" max="14" width="11.85546875" style="361" customWidth="1"/>
    <col min="15" max="16384" width="9.140625" style="361"/>
  </cols>
  <sheetData>
    <row r="1" spans="2:14" ht="5.0999999999999996" customHeight="1" thickBot="1" x14ac:dyDescent="0.3"/>
    <row r="2" spans="2:14" ht="16.5" thickTop="1" thickBot="1" x14ac:dyDescent="0.3">
      <c r="B2" s="787" t="s">
        <v>138</v>
      </c>
      <c r="C2" s="788"/>
      <c r="D2" s="788"/>
      <c r="E2" s="788"/>
      <c r="F2" s="788"/>
      <c r="G2" s="788"/>
      <c r="H2" s="788"/>
      <c r="I2" s="788"/>
      <c r="J2" s="788"/>
      <c r="K2" s="788"/>
      <c r="L2" s="789"/>
      <c r="N2" s="368"/>
    </row>
    <row r="3" spans="2:14" ht="5.0999999999999996" customHeight="1" thickTop="1" thickBot="1" x14ac:dyDescent="0.3"/>
    <row r="4" spans="2:14" ht="15.75" thickTop="1" x14ac:dyDescent="0.25">
      <c r="B4" s="790" t="s">
        <v>74</v>
      </c>
      <c r="C4" s="792" t="s">
        <v>139</v>
      </c>
      <c r="D4" s="792" t="s">
        <v>140</v>
      </c>
      <c r="E4" s="794" t="s">
        <v>141</v>
      </c>
      <c r="F4" s="795"/>
      <c r="G4" s="796" t="s">
        <v>142</v>
      </c>
      <c r="H4" s="796" t="s">
        <v>143</v>
      </c>
      <c r="I4" s="796" t="s">
        <v>144</v>
      </c>
      <c r="J4" s="796" t="s">
        <v>145</v>
      </c>
      <c r="K4" s="796" t="s">
        <v>146</v>
      </c>
      <c r="L4" s="779" t="s">
        <v>147</v>
      </c>
    </row>
    <row r="5" spans="2:14" x14ac:dyDescent="0.25">
      <c r="B5" s="791"/>
      <c r="C5" s="793"/>
      <c r="D5" s="793"/>
      <c r="E5" s="369" t="s">
        <v>74</v>
      </c>
      <c r="F5" s="369" t="s">
        <v>12</v>
      </c>
      <c r="G5" s="797"/>
      <c r="H5" s="797"/>
      <c r="I5" s="797"/>
      <c r="J5" s="797"/>
      <c r="K5" s="797"/>
      <c r="L5" s="780"/>
    </row>
    <row r="6" spans="2:14" x14ac:dyDescent="0.25">
      <c r="B6" s="484" t="s">
        <v>148</v>
      </c>
      <c r="C6" s="370" t="s">
        <v>638</v>
      </c>
      <c r="D6" s="371"/>
      <c r="E6" s="372"/>
      <c r="F6" s="371"/>
      <c r="G6" s="371"/>
      <c r="H6" s="371"/>
      <c r="I6" s="371"/>
      <c r="J6" s="371"/>
      <c r="K6" s="371"/>
      <c r="L6" s="485"/>
    </row>
    <row r="7" spans="2:14" x14ac:dyDescent="0.25">
      <c r="B7" s="486" t="s">
        <v>149</v>
      </c>
      <c r="C7" s="374" t="s">
        <v>317</v>
      </c>
      <c r="D7" s="375">
        <v>0.1</v>
      </c>
      <c r="E7" s="373" t="s">
        <v>150</v>
      </c>
      <c r="F7" s="376" t="s">
        <v>320</v>
      </c>
      <c r="G7" s="377">
        <v>396</v>
      </c>
      <c r="H7" s="378">
        <v>1</v>
      </c>
      <c r="I7" s="379">
        <v>0.5</v>
      </c>
      <c r="J7" s="376">
        <v>80</v>
      </c>
      <c r="K7" s="380">
        <v>63.683900000000001</v>
      </c>
      <c r="L7" s="487">
        <f>ROUND((D7*((G7*H7*I7)/J7)*K7),2)</f>
        <v>15.76</v>
      </c>
    </row>
    <row r="8" spans="2:14" x14ac:dyDescent="0.25">
      <c r="B8" s="488" t="s">
        <v>151</v>
      </c>
      <c r="C8" s="374" t="s">
        <v>318</v>
      </c>
      <c r="D8" s="375">
        <v>0.5</v>
      </c>
      <c r="E8" s="381" t="s">
        <v>150</v>
      </c>
      <c r="F8" s="376" t="s">
        <v>320</v>
      </c>
      <c r="G8" s="382">
        <f>$G$7</f>
        <v>396</v>
      </c>
      <c r="H8" s="378">
        <v>1</v>
      </c>
      <c r="I8" s="379">
        <f>1/3</f>
        <v>0.33333333333333331</v>
      </c>
      <c r="J8" s="376">
        <v>80</v>
      </c>
      <c r="K8" s="380">
        <f>$K$7</f>
        <v>63.683900000000001</v>
      </c>
      <c r="L8" s="487">
        <f t="shared" ref="L8:L9" si="0">ROUND((D8*((G8*H8*I8)/J8)*K8),2)</f>
        <v>52.54</v>
      </c>
    </row>
    <row r="9" spans="2:14" x14ac:dyDescent="0.25">
      <c r="B9" s="488" t="s">
        <v>152</v>
      </c>
      <c r="C9" s="374" t="s">
        <v>319</v>
      </c>
      <c r="D9" s="375">
        <v>0.5</v>
      </c>
      <c r="E9" s="381" t="s">
        <v>150</v>
      </c>
      <c r="F9" s="376" t="s">
        <v>320</v>
      </c>
      <c r="G9" s="382">
        <f t="shared" ref="G9:G12" si="1">$G$7</f>
        <v>396</v>
      </c>
      <c r="H9" s="378">
        <v>1</v>
      </c>
      <c r="I9" s="379">
        <f>1/3</f>
        <v>0.33333333333333331</v>
      </c>
      <c r="J9" s="376">
        <v>80</v>
      </c>
      <c r="K9" s="380">
        <f>$K$7</f>
        <v>63.683900000000001</v>
      </c>
      <c r="L9" s="487">
        <f t="shared" si="0"/>
        <v>52.54</v>
      </c>
    </row>
    <row r="10" spans="2:14" x14ac:dyDescent="0.25">
      <c r="B10" s="489"/>
      <c r="C10" s="383"/>
      <c r="D10" s="384"/>
      <c r="E10" s="385"/>
      <c r="F10" s="386"/>
      <c r="G10" s="387"/>
      <c r="H10" s="388"/>
      <c r="I10" s="388"/>
      <c r="J10" s="388"/>
      <c r="K10" s="388"/>
      <c r="L10" s="490"/>
    </row>
    <row r="11" spans="2:14" x14ac:dyDescent="0.25">
      <c r="B11" s="488" t="s">
        <v>153</v>
      </c>
      <c r="C11" s="374" t="s">
        <v>488</v>
      </c>
      <c r="D11" s="375">
        <v>5</v>
      </c>
      <c r="E11" s="381" t="s">
        <v>150</v>
      </c>
      <c r="F11" s="376" t="s">
        <v>320</v>
      </c>
      <c r="G11" s="382">
        <f t="shared" si="1"/>
        <v>396</v>
      </c>
      <c r="H11" s="378">
        <v>1</v>
      </c>
      <c r="I11" s="379">
        <f>0.25/3</f>
        <v>8.3333333333333329E-2</v>
      </c>
      <c r="J11" s="376">
        <v>80</v>
      </c>
      <c r="K11" s="380">
        <f t="shared" ref="K11:K12" si="2">$K$7</f>
        <v>63.683900000000001</v>
      </c>
      <c r="L11" s="487">
        <f>ROUND((D11*((G11*H11*I11)/J11)*K11),2)</f>
        <v>131.35</v>
      </c>
    </row>
    <row r="12" spans="2:14" x14ac:dyDescent="0.25">
      <c r="B12" s="488" t="s">
        <v>154</v>
      </c>
      <c r="C12" s="374" t="s">
        <v>487</v>
      </c>
      <c r="D12" s="375">
        <v>3</v>
      </c>
      <c r="E12" s="381" t="s">
        <v>150</v>
      </c>
      <c r="F12" s="376" t="s">
        <v>320</v>
      </c>
      <c r="G12" s="382">
        <f t="shared" si="1"/>
        <v>396</v>
      </c>
      <c r="H12" s="378">
        <v>1</v>
      </c>
      <c r="I12" s="379">
        <f>0.5/3</f>
        <v>0.16666666666666666</v>
      </c>
      <c r="J12" s="376">
        <v>80</v>
      </c>
      <c r="K12" s="380">
        <f t="shared" si="2"/>
        <v>63.683900000000001</v>
      </c>
      <c r="L12" s="487">
        <f>ROUND((D12*((G12*H12*I12)/J12)*K12),2)</f>
        <v>157.62</v>
      </c>
    </row>
    <row r="13" spans="2:14" x14ac:dyDescent="0.25">
      <c r="B13" s="491"/>
      <c r="C13" s="389"/>
      <c r="D13" s="390"/>
      <c r="E13" s="389"/>
      <c r="F13" s="391"/>
      <c r="G13" s="392"/>
      <c r="H13" s="391"/>
      <c r="I13" s="391"/>
      <c r="J13" s="393"/>
      <c r="K13" s="394" t="str">
        <f>CONCATENATE("Sub Total da Mobilização de ",C6," - R$: ")</f>
        <v xml:space="preserve">Sub Total da Mobilização de Pessoal (de Porto Alegre até ) - R$: </v>
      </c>
      <c r="L13" s="492">
        <f>SUM(L7:L12)</f>
        <v>409.81</v>
      </c>
    </row>
    <row r="14" spans="2:14" x14ac:dyDescent="0.25">
      <c r="B14" s="484" t="s">
        <v>155</v>
      </c>
      <c r="C14" s="370" t="s">
        <v>639</v>
      </c>
      <c r="D14" s="371"/>
      <c r="E14" s="372"/>
      <c r="F14" s="371"/>
      <c r="G14" s="371"/>
      <c r="H14" s="371"/>
      <c r="I14" s="371"/>
      <c r="J14" s="371"/>
      <c r="K14" s="371"/>
      <c r="L14" s="485"/>
    </row>
    <row r="15" spans="2:14" x14ac:dyDescent="0.25">
      <c r="B15" s="493" t="s">
        <v>178</v>
      </c>
      <c r="C15" s="396" t="s">
        <v>194</v>
      </c>
      <c r="D15" s="375">
        <v>1</v>
      </c>
      <c r="E15" s="395" t="s">
        <v>156</v>
      </c>
      <c r="F15" s="376" t="s">
        <v>320</v>
      </c>
      <c r="G15" s="382">
        <f>$G$7</f>
        <v>396</v>
      </c>
      <c r="H15" s="378">
        <v>0.01</v>
      </c>
      <c r="I15" s="379">
        <v>0</v>
      </c>
      <c r="J15" s="395">
        <v>60</v>
      </c>
      <c r="K15" s="380">
        <v>274.3526</v>
      </c>
      <c r="L15" s="487">
        <f>ROUND((D15*((G15*H15*I15)/J15)*K15),2)</f>
        <v>0</v>
      </c>
    </row>
    <row r="16" spans="2:14" x14ac:dyDescent="0.25">
      <c r="B16" s="493" t="s">
        <v>175</v>
      </c>
      <c r="C16" s="396" t="s">
        <v>185</v>
      </c>
      <c r="D16" s="375">
        <v>1</v>
      </c>
      <c r="E16" s="395" t="s">
        <v>156</v>
      </c>
      <c r="F16" s="376" t="s">
        <v>320</v>
      </c>
      <c r="G16" s="382">
        <f t="shared" ref="G16:G18" si="3">$G$7</f>
        <v>396</v>
      </c>
      <c r="H16" s="378">
        <v>0.01</v>
      </c>
      <c r="I16" s="379">
        <v>0</v>
      </c>
      <c r="J16" s="395">
        <v>60</v>
      </c>
      <c r="K16" s="380">
        <f>$K$15</f>
        <v>274.3526</v>
      </c>
      <c r="L16" s="487">
        <f>ROUND((D16*((G16*H16*I16)/J16)*K16),2)</f>
        <v>0</v>
      </c>
    </row>
    <row r="17" spans="2:12" x14ac:dyDescent="0.25">
      <c r="B17" s="493" t="s">
        <v>179</v>
      </c>
      <c r="C17" s="396" t="s">
        <v>197</v>
      </c>
      <c r="D17" s="375">
        <v>1</v>
      </c>
      <c r="E17" s="395" t="s">
        <v>156</v>
      </c>
      <c r="F17" s="376" t="s">
        <v>320</v>
      </c>
      <c r="G17" s="382">
        <f t="shared" si="3"/>
        <v>396</v>
      </c>
      <c r="H17" s="378">
        <v>0.01</v>
      </c>
      <c r="I17" s="379">
        <v>0</v>
      </c>
      <c r="J17" s="395">
        <v>60</v>
      </c>
      <c r="K17" s="380">
        <f>$K$15</f>
        <v>274.3526</v>
      </c>
      <c r="L17" s="487">
        <f>ROUND((D17*((G17*H17*I17)/J17)*K17),2)</f>
        <v>0</v>
      </c>
    </row>
    <row r="18" spans="2:12" x14ac:dyDescent="0.25">
      <c r="B18" s="493" t="s">
        <v>180</v>
      </c>
      <c r="C18" s="396" t="s">
        <v>198</v>
      </c>
      <c r="D18" s="375">
        <v>1</v>
      </c>
      <c r="E18" s="395" t="s">
        <v>156</v>
      </c>
      <c r="F18" s="376" t="s">
        <v>320</v>
      </c>
      <c r="G18" s="382">
        <f t="shared" si="3"/>
        <v>396</v>
      </c>
      <c r="H18" s="378">
        <v>0.01</v>
      </c>
      <c r="I18" s="379">
        <v>0</v>
      </c>
      <c r="J18" s="395">
        <v>60</v>
      </c>
      <c r="K18" s="380">
        <f>$K$15</f>
        <v>274.3526</v>
      </c>
      <c r="L18" s="487">
        <f>ROUND((D18*((G18*H18*I18)/J18)*K18),2)</f>
        <v>0</v>
      </c>
    </row>
    <row r="19" spans="2:12" x14ac:dyDescent="0.25">
      <c r="B19" s="491"/>
      <c r="C19" s="389"/>
      <c r="D19" s="390"/>
      <c r="E19" s="389"/>
      <c r="F19" s="391"/>
      <c r="G19" s="392"/>
      <c r="H19" s="391"/>
      <c r="I19" s="391"/>
      <c r="J19" s="393"/>
      <c r="K19" s="394" t="str">
        <f>CONCATENATE("Sub Total da Mobilização de ",C14," - R$: ")</f>
        <v xml:space="preserve">Sub Total da Mobilização de Equipamentos de Pequeno Porte (de Porto Alegre até ) - R$: </v>
      </c>
      <c r="L19" s="492">
        <f>SUM(L15:L18)</f>
        <v>0</v>
      </c>
    </row>
    <row r="20" spans="2:12" x14ac:dyDescent="0.25">
      <c r="B20" s="484" t="s">
        <v>157</v>
      </c>
      <c r="C20" s="370" t="s">
        <v>640</v>
      </c>
      <c r="D20" s="371"/>
      <c r="E20" s="372"/>
      <c r="F20" s="371"/>
      <c r="G20" s="371"/>
      <c r="H20" s="371"/>
      <c r="I20" s="371"/>
      <c r="J20" s="371"/>
      <c r="K20" s="371"/>
      <c r="L20" s="485"/>
    </row>
    <row r="21" spans="2:12" x14ac:dyDescent="0.25">
      <c r="B21" s="488" t="s">
        <v>158</v>
      </c>
      <c r="C21" s="397" t="s">
        <v>381</v>
      </c>
      <c r="D21" s="398">
        <v>1</v>
      </c>
      <c r="E21" s="381" t="s">
        <v>158</v>
      </c>
      <c r="F21" s="395" t="s">
        <v>320</v>
      </c>
      <c r="G21" s="382">
        <f>$G$7</f>
        <v>396</v>
      </c>
      <c r="H21" s="378">
        <v>1</v>
      </c>
      <c r="I21" s="379">
        <v>1</v>
      </c>
      <c r="J21" s="395">
        <v>60</v>
      </c>
      <c r="K21" s="380">
        <v>76.061499999999995</v>
      </c>
      <c r="L21" s="487">
        <f>ROUND((D21*((G21*H21*I21)/J21)*K21),2)</f>
        <v>502.01</v>
      </c>
    </row>
    <row r="22" spans="2:12" x14ac:dyDescent="0.25">
      <c r="B22" s="491"/>
      <c r="C22" s="389"/>
      <c r="D22" s="390"/>
      <c r="E22" s="389"/>
      <c r="F22" s="391"/>
      <c r="G22" s="392"/>
      <c r="H22" s="391"/>
      <c r="I22" s="391"/>
      <c r="J22" s="393"/>
      <c r="K22" s="394" t="str">
        <f>CONCATENATE("Sub Total da Mobilização de ",C20," - R$: ")</f>
        <v xml:space="preserve">Sub Total da Mobilização de Veículos leves, Caminhões Comuns e Ônibus (de Porto Alegre até ) - R$: </v>
      </c>
      <c r="L22" s="492">
        <f>SUM(L21:L21)</f>
        <v>502.01</v>
      </c>
    </row>
    <row r="23" spans="2:12" x14ac:dyDescent="0.25">
      <c r="B23" s="484" t="s">
        <v>159</v>
      </c>
      <c r="C23" s="370" t="s">
        <v>641</v>
      </c>
      <c r="D23" s="371"/>
      <c r="E23" s="372"/>
      <c r="F23" s="371"/>
      <c r="G23" s="371"/>
      <c r="H23" s="371"/>
      <c r="I23" s="371"/>
      <c r="J23" s="371"/>
      <c r="K23" s="371"/>
      <c r="L23" s="485"/>
    </row>
    <row r="24" spans="2:12" ht="25.5" x14ac:dyDescent="0.25">
      <c r="B24" s="493" t="s">
        <v>172</v>
      </c>
      <c r="C24" s="396" t="s">
        <v>181</v>
      </c>
      <c r="D24" s="398">
        <v>1</v>
      </c>
      <c r="E24" s="395" t="s">
        <v>172</v>
      </c>
      <c r="F24" s="395" t="s">
        <v>320</v>
      </c>
      <c r="G24" s="382">
        <f t="shared" ref="G24:G37" si="4">$G$7</f>
        <v>396</v>
      </c>
      <c r="H24" s="378">
        <v>1</v>
      </c>
      <c r="I24" s="379">
        <v>1</v>
      </c>
      <c r="J24" s="395">
        <v>60</v>
      </c>
      <c r="K24" s="380">
        <v>295.0283</v>
      </c>
      <c r="L24" s="487">
        <f t="shared" ref="L24:L37" si="5">ROUND((D24*((G24*H24*I24)/J24)*K24),2)</f>
        <v>1947.19</v>
      </c>
    </row>
    <row r="25" spans="2:12" x14ac:dyDescent="0.25">
      <c r="B25" s="493" t="s">
        <v>168</v>
      </c>
      <c r="C25" s="396" t="s">
        <v>195</v>
      </c>
      <c r="D25" s="398">
        <v>1</v>
      </c>
      <c r="E25" s="395" t="s">
        <v>168</v>
      </c>
      <c r="F25" s="395" t="s">
        <v>320</v>
      </c>
      <c r="G25" s="382">
        <f t="shared" si="4"/>
        <v>396</v>
      </c>
      <c r="H25" s="378">
        <v>1</v>
      </c>
      <c r="I25" s="379">
        <v>1</v>
      </c>
      <c r="J25" s="395">
        <v>60</v>
      </c>
      <c r="K25" s="380">
        <v>146.50710000000001</v>
      </c>
      <c r="L25" s="487">
        <f t="shared" si="5"/>
        <v>966.95</v>
      </c>
    </row>
    <row r="26" spans="2:12" ht="25.5" x14ac:dyDescent="0.25">
      <c r="B26" s="493" t="s">
        <v>167</v>
      </c>
      <c r="C26" s="396" t="s">
        <v>196</v>
      </c>
      <c r="D26" s="398">
        <v>1</v>
      </c>
      <c r="E26" s="395" t="s">
        <v>167</v>
      </c>
      <c r="F26" s="395" t="s">
        <v>320</v>
      </c>
      <c r="G26" s="382">
        <f t="shared" si="4"/>
        <v>396</v>
      </c>
      <c r="H26" s="378">
        <v>1</v>
      </c>
      <c r="I26" s="379">
        <v>1</v>
      </c>
      <c r="J26" s="395">
        <v>60</v>
      </c>
      <c r="K26" s="380">
        <v>378.5102</v>
      </c>
      <c r="L26" s="487">
        <f t="shared" si="5"/>
        <v>2498.17</v>
      </c>
    </row>
    <row r="27" spans="2:12" ht="25.5" x14ac:dyDescent="0.25">
      <c r="B27" s="493" t="s">
        <v>174</v>
      </c>
      <c r="C27" s="396" t="s">
        <v>184</v>
      </c>
      <c r="D27" s="398">
        <v>1</v>
      </c>
      <c r="E27" s="395" t="s">
        <v>174</v>
      </c>
      <c r="F27" s="395" t="s">
        <v>320</v>
      </c>
      <c r="G27" s="382">
        <f t="shared" si="4"/>
        <v>396</v>
      </c>
      <c r="H27" s="378">
        <v>1</v>
      </c>
      <c r="I27" s="379">
        <v>1</v>
      </c>
      <c r="J27" s="395">
        <v>60</v>
      </c>
      <c r="K27" s="380">
        <v>341.02019999999999</v>
      </c>
      <c r="L27" s="487">
        <f t="shared" si="5"/>
        <v>2250.73</v>
      </c>
    </row>
    <row r="28" spans="2:12" ht="25.5" x14ac:dyDescent="0.25">
      <c r="B28" s="493" t="s">
        <v>160</v>
      </c>
      <c r="C28" s="396" t="s">
        <v>192</v>
      </c>
      <c r="D28" s="398">
        <v>1</v>
      </c>
      <c r="E28" s="395" t="s">
        <v>160</v>
      </c>
      <c r="F28" s="395" t="s">
        <v>320</v>
      </c>
      <c r="G28" s="382">
        <f t="shared" si="4"/>
        <v>396</v>
      </c>
      <c r="H28" s="378">
        <v>1</v>
      </c>
      <c r="I28" s="379">
        <v>1</v>
      </c>
      <c r="J28" s="395">
        <v>60</v>
      </c>
      <c r="K28" s="380">
        <v>271.87700000000001</v>
      </c>
      <c r="L28" s="487">
        <f t="shared" si="5"/>
        <v>1794.39</v>
      </c>
    </row>
    <row r="29" spans="2:12" ht="25.5" x14ac:dyDescent="0.25">
      <c r="B29" s="493" t="s">
        <v>161</v>
      </c>
      <c r="C29" s="396" t="s">
        <v>182</v>
      </c>
      <c r="D29" s="398">
        <v>1</v>
      </c>
      <c r="E29" s="395" t="s">
        <v>162</v>
      </c>
      <c r="F29" s="395" t="s">
        <v>320</v>
      </c>
      <c r="G29" s="382">
        <f t="shared" si="4"/>
        <v>396</v>
      </c>
      <c r="H29" s="378">
        <v>1</v>
      </c>
      <c r="I29" s="379">
        <v>1</v>
      </c>
      <c r="J29" s="395">
        <v>60</v>
      </c>
      <c r="K29" s="380">
        <v>394.8372</v>
      </c>
      <c r="L29" s="487">
        <f t="shared" si="5"/>
        <v>2605.9299999999998</v>
      </c>
    </row>
    <row r="30" spans="2:12" x14ac:dyDescent="0.25">
      <c r="B30" s="493" t="s">
        <v>176</v>
      </c>
      <c r="C30" s="396" t="s">
        <v>186</v>
      </c>
      <c r="D30" s="398">
        <v>1</v>
      </c>
      <c r="E30" s="395" t="s">
        <v>162</v>
      </c>
      <c r="F30" s="395" t="s">
        <v>320</v>
      </c>
      <c r="G30" s="382">
        <f t="shared" si="4"/>
        <v>396</v>
      </c>
      <c r="H30" s="378">
        <v>1</v>
      </c>
      <c r="I30" s="379">
        <v>1</v>
      </c>
      <c r="J30" s="395">
        <v>60</v>
      </c>
      <c r="K30" s="380">
        <f>$K$29</f>
        <v>394.8372</v>
      </c>
      <c r="L30" s="487">
        <f t="shared" si="5"/>
        <v>2605.9299999999998</v>
      </c>
    </row>
    <row r="31" spans="2:12" ht="25.5" x14ac:dyDescent="0.25">
      <c r="B31" s="493" t="s">
        <v>169</v>
      </c>
      <c r="C31" s="396" t="s">
        <v>189</v>
      </c>
      <c r="D31" s="398">
        <v>1</v>
      </c>
      <c r="E31" s="395" t="s">
        <v>162</v>
      </c>
      <c r="F31" s="395" t="s">
        <v>320</v>
      </c>
      <c r="G31" s="382">
        <f t="shared" si="4"/>
        <v>396</v>
      </c>
      <c r="H31" s="378">
        <v>1</v>
      </c>
      <c r="I31" s="379">
        <v>1</v>
      </c>
      <c r="J31" s="395">
        <v>60</v>
      </c>
      <c r="K31" s="380">
        <f t="shared" ref="K31:K37" si="6">$K$29</f>
        <v>394.8372</v>
      </c>
      <c r="L31" s="487">
        <f t="shared" si="5"/>
        <v>2605.9299999999998</v>
      </c>
    </row>
    <row r="32" spans="2:12" ht="25.5" x14ac:dyDescent="0.25">
      <c r="B32" s="493" t="s">
        <v>163</v>
      </c>
      <c r="C32" s="396" t="s">
        <v>191</v>
      </c>
      <c r="D32" s="398">
        <v>1</v>
      </c>
      <c r="E32" s="395" t="s">
        <v>162</v>
      </c>
      <c r="F32" s="395" t="s">
        <v>320</v>
      </c>
      <c r="G32" s="382">
        <f t="shared" si="4"/>
        <v>396</v>
      </c>
      <c r="H32" s="378">
        <v>1</v>
      </c>
      <c r="I32" s="379">
        <v>0.5</v>
      </c>
      <c r="J32" s="395">
        <v>60</v>
      </c>
      <c r="K32" s="380">
        <f t="shared" si="6"/>
        <v>394.8372</v>
      </c>
      <c r="L32" s="487">
        <f t="shared" si="5"/>
        <v>1302.96</v>
      </c>
    </row>
    <row r="33" spans="2:12" ht="25.5" x14ac:dyDescent="0.25">
      <c r="B33" s="493" t="s">
        <v>177</v>
      </c>
      <c r="C33" s="396" t="s">
        <v>187</v>
      </c>
      <c r="D33" s="398">
        <v>1</v>
      </c>
      <c r="E33" s="395" t="s">
        <v>162</v>
      </c>
      <c r="F33" s="395" t="s">
        <v>320</v>
      </c>
      <c r="G33" s="382">
        <f t="shared" si="4"/>
        <v>396</v>
      </c>
      <c r="H33" s="378">
        <v>1</v>
      </c>
      <c r="I33" s="379">
        <v>0.5</v>
      </c>
      <c r="J33" s="395">
        <v>60</v>
      </c>
      <c r="K33" s="380">
        <f t="shared" si="6"/>
        <v>394.8372</v>
      </c>
      <c r="L33" s="487">
        <f t="shared" si="5"/>
        <v>1302.96</v>
      </c>
    </row>
    <row r="34" spans="2:12" ht="25.5" x14ac:dyDescent="0.25">
      <c r="B34" s="493" t="s">
        <v>165</v>
      </c>
      <c r="C34" s="396" t="s">
        <v>193</v>
      </c>
      <c r="D34" s="398">
        <v>2</v>
      </c>
      <c r="E34" s="395" t="s">
        <v>162</v>
      </c>
      <c r="F34" s="395" t="s">
        <v>320</v>
      </c>
      <c r="G34" s="382">
        <f t="shared" si="4"/>
        <v>396</v>
      </c>
      <c r="H34" s="378">
        <v>1</v>
      </c>
      <c r="I34" s="379">
        <v>1</v>
      </c>
      <c r="J34" s="395">
        <v>60</v>
      </c>
      <c r="K34" s="380">
        <f t="shared" si="6"/>
        <v>394.8372</v>
      </c>
      <c r="L34" s="487">
        <f t="shared" si="5"/>
        <v>5211.8500000000004</v>
      </c>
    </row>
    <row r="35" spans="2:12" x14ac:dyDescent="0.25">
      <c r="B35" s="493" t="s">
        <v>166</v>
      </c>
      <c r="C35" s="396" t="s">
        <v>188</v>
      </c>
      <c r="D35" s="398">
        <v>1</v>
      </c>
      <c r="E35" s="395" t="s">
        <v>162</v>
      </c>
      <c r="F35" s="395" t="s">
        <v>320</v>
      </c>
      <c r="G35" s="382">
        <f t="shared" si="4"/>
        <v>396</v>
      </c>
      <c r="H35" s="378">
        <v>1</v>
      </c>
      <c r="I35" s="379">
        <v>0.5</v>
      </c>
      <c r="J35" s="395">
        <v>60</v>
      </c>
      <c r="K35" s="380">
        <f t="shared" si="6"/>
        <v>394.8372</v>
      </c>
      <c r="L35" s="487">
        <f t="shared" si="5"/>
        <v>1302.96</v>
      </c>
    </row>
    <row r="36" spans="2:12" x14ac:dyDescent="0.25">
      <c r="B36" s="493" t="s">
        <v>173</v>
      </c>
      <c r="C36" s="396" t="s">
        <v>183</v>
      </c>
      <c r="D36" s="398">
        <v>1</v>
      </c>
      <c r="E36" s="395" t="s">
        <v>162</v>
      </c>
      <c r="F36" s="395" t="s">
        <v>320</v>
      </c>
      <c r="G36" s="382">
        <f t="shared" si="4"/>
        <v>396</v>
      </c>
      <c r="H36" s="378">
        <v>1</v>
      </c>
      <c r="I36" s="379">
        <v>0.5</v>
      </c>
      <c r="J36" s="395">
        <v>60</v>
      </c>
      <c r="K36" s="380">
        <f t="shared" si="6"/>
        <v>394.8372</v>
      </c>
      <c r="L36" s="487">
        <f t="shared" si="5"/>
        <v>1302.96</v>
      </c>
    </row>
    <row r="37" spans="2:12" x14ac:dyDescent="0.25">
      <c r="B37" s="493" t="s">
        <v>164</v>
      </c>
      <c r="C37" s="396" t="s">
        <v>190</v>
      </c>
      <c r="D37" s="398">
        <v>1</v>
      </c>
      <c r="E37" s="395" t="s">
        <v>162</v>
      </c>
      <c r="F37" s="395" t="s">
        <v>320</v>
      </c>
      <c r="G37" s="382">
        <f t="shared" si="4"/>
        <v>396</v>
      </c>
      <c r="H37" s="378">
        <v>1</v>
      </c>
      <c r="I37" s="379">
        <v>0.5</v>
      </c>
      <c r="J37" s="395">
        <v>60</v>
      </c>
      <c r="K37" s="380">
        <f t="shared" si="6"/>
        <v>394.8372</v>
      </c>
      <c r="L37" s="487">
        <f t="shared" si="5"/>
        <v>1302.96</v>
      </c>
    </row>
    <row r="38" spans="2:12" ht="15.75" thickBot="1" x14ac:dyDescent="0.3">
      <c r="B38" s="494"/>
      <c r="C38" s="495"/>
      <c r="D38" s="495"/>
      <c r="E38" s="495"/>
      <c r="F38" s="496"/>
      <c r="G38" s="497"/>
      <c r="H38" s="496"/>
      <c r="I38" s="496"/>
      <c r="J38" s="498"/>
      <c r="K38" s="499" t="str">
        <f>CONCATENATE("Sub Total da Mobilização de ",C23," - R$: ")</f>
        <v xml:space="preserve">Sub Total da Mobilização de Equipamentos e Veículos de Grande Porte (de Porto Alegre até ) - R$: </v>
      </c>
      <c r="L38" s="500">
        <f>SUM(L24:L37)</f>
        <v>29001.869999999995</v>
      </c>
    </row>
    <row r="39" spans="2:12" ht="16.5" thickTop="1" thickBot="1" x14ac:dyDescent="0.3">
      <c r="B39" s="399"/>
      <c r="C39" s="400"/>
      <c r="D39" s="400"/>
      <c r="E39" s="400"/>
      <c r="F39" s="401"/>
      <c r="G39" s="401"/>
      <c r="H39" s="401"/>
      <c r="I39" s="501"/>
      <c r="J39" s="501"/>
      <c r="K39" s="501"/>
      <c r="L39" s="507"/>
    </row>
    <row r="40" spans="2:12" ht="16.5" thickTop="1" thickBot="1" x14ac:dyDescent="0.3">
      <c r="B40" s="502"/>
      <c r="C40" s="503"/>
      <c r="D40" s="503"/>
      <c r="E40" s="503"/>
      <c r="F40" s="504"/>
      <c r="G40" s="504"/>
      <c r="H40" s="504"/>
      <c r="I40" s="505"/>
      <c r="J40" s="505"/>
      <c r="K40" s="505" t="s">
        <v>170</v>
      </c>
      <c r="L40" s="506">
        <f>L13+L19+L22+L38</f>
        <v>29913.689999999995</v>
      </c>
    </row>
    <row r="41" spans="2:12" ht="15.75" thickTop="1" x14ac:dyDescent="0.25">
      <c r="B41" s="399"/>
      <c r="C41" s="400"/>
      <c r="D41" s="400"/>
      <c r="E41" s="400"/>
      <c r="F41" s="401"/>
      <c r="G41" s="401"/>
      <c r="H41" s="401"/>
      <c r="I41" s="401"/>
      <c r="J41" s="401"/>
      <c r="K41" s="401"/>
      <c r="L41" s="402"/>
    </row>
    <row r="42" spans="2:12" x14ac:dyDescent="0.25">
      <c r="B42" s="781" t="s">
        <v>171</v>
      </c>
      <c r="C42" s="782"/>
      <c r="D42" s="782"/>
      <c r="E42" s="782"/>
      <c r="F42" s="782"/>
      <c r="G42" s="782"/>
      <c r="H42" s="782"/>
      <c r="I42" s="782"/>
      <c r="J42" s="782"/>
      <c r="K42" s="782"/>
      <c r="L42" s="783"/>
    </row>
    <row r="43" spans="2:12" x14ac:dyDescent="0.25">
      <c r="B43" s="784"/>
      <c r="C43" s="785"/>
      <c r="D43" s="785"/>
      <c r="E43" s="785"/>
      <c r="F43" s="785"/>
      <c r="G43" s="785"/>
      <c r="H43" s="785"/>
      <c r="I43" s="785"/>
      <c r="J43" s="785"/>
      <c r="K43" s="785"/>
      <c r="L43" s="786"/>
    </row>
  </sheetData>
  <mergeCells count="12">
    <mergeCell ref="L4:L5"/>
    <mergeCell ref="B42:L43"/>
    <mergeCell ref="B2:L2"/>
    <mergeCell ref="B4:B5"/>
    <mergeCell ref="C4:C5"/>
    <mergeCell ref="D4:D5"/>
    <mergeCell ref="E4:F4"/>
    <mergeCell ref="G4:G5"/>
    <mergeCell ref="H4:H5"/>
    <mergeCell ref="I4:I5"/>
    <mergeCell ref="J4:J5"/>
    <mergeCell ref="K4:K5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3"/>
  <sheetViews>
    <sheetView view="pageBreakPreview" zoomScaleNormal="100" zoomScaleSheetLayoutView="100" workbookViewId="0">
      <pane ySplit="7" topLeftCell="A8" activePane="bottomLeft" state="frozen"/>
      <selection activeCell="C7" sqref="C7"/>
      <selection pane="bottomLeft" activeCell="O38" sqref="O38"/>
    </sheetView>
  </sheetViews>
  <sheetFormatPr defaultRowHeight="15" x14ac:dyDescent="0.25"/>
  <cols>
    <col min="1" max="1" width="1" style="403" customWidth="1"/>
    <col min="2" max="2" width="7.28515625" style="403" bestFit="1" customWidth="1"/>
    <col min="3" max="3" width="9.7109375" style="403" customWidth="1"/>
    <col min="4" max="4" width="44.140625" style="404" customWidth="1"/>
    <col min="5" max="5" width="6.42578125" style="403" bestFit="1" customWidth="1"/>
    <col min="6" max="6" width="9" style="403" bestFit="1" customWidth="1"/>
    <col min="7" max="10" width="12.5703125" style="403" customWidth="1"/>
    <col min="11" max="11" width="13.7109375" style="403" bestFit="1" customWidth="1"/>
    <col min="12" max="12" width="1" style="403" customWidth="1"/>
    <col min="13" max="13" width="9.140625" style="403"/>
    <col min="14" max="14" width="10.140625" style="403" customWidth="1"/>
    <col min="15" max="16384" width="9.140625" style="403"/>
  </cols>
  <sheetData>
    <row r="1" spans="2:11" ht="5.0999999999999996" customHeight="1" thickBot="1" x14ac:dyDescent="0.3"/>
    <row r="2" spans="2:11" ht="16.5" thickTop="1" thickBot="1" x14ac:dyDescent="0.3">
      <c r="B2" s="798" t="s">
        <v>325</v>
      </c>
      <c r="C2" s="799"/>
      <c r="D2" s="799"/>
      <c r="E2" s="799"/>
      <c r="F2" s="799"/>
      <c r="G2" s="799"/>
      <c r="H2" s="799"/>
      <c r="I2" s="799"/>
      <c r="J2" s="799"/>
      <c r="K2" s="800"/>
    </row>
    <row r="3" spans="2:11" ht="16.5" thickTop="1" thickBot="1" x14ac:dyDescent="0.3">
      <c r="D3" s="403"/>
    </row>
    <row r="4" spans="2:11" ht="15.75" thickTop="1" x14ac:dyDescent="0.25">
      <c r="B4" s="814" t="s">
        <v>435</v>
      </c>
      <c r="C4" s="815"/>
      <c r="D4" s="815"/>
      <c r="E4" s="815"/>
      <c r="F4" s="815"/>
      <c r="G4" s="815"/>
      <c r="H4" s="815"/>
      <c r="I4" s="815"/>
      <c r="J4" s="815"/>
      <c r="K4" s="816"/>
    </row>
    <row r="5" spans="2:11" x14ac:dyDescent="0.25">
      <c r="B5" s="807" t="s">
        <v>215</v>
      </c>
      <c r="C5" s="810" t="s">
        <v>74</v>
      </c>
      <c r="D5" s="811" t="s">
        <v>326</v>
      </c>
      <c r="E5" s="811" t="s">
        <v>77</v>
      </c>
      <c r="F5" s="810" t="s">
        <v>140</v>
      </c>
      <c r="G5" s="801" t="s">
        <v>327</v>
      </c>
      <c r="H5" s="802"/>
      <c r="I5" s="801" t="s">
        <v>328</v>
      </c>
      <c r="J5" s="802"/>
      <c r="K5" s="805" t="s">
        <v>329</v>
      </c>
    </row>
    <row r="6" spans="2:11" x14ac:dyDescent="0.25">
      <c r="B6" s="808"/>
      <c r="C6" s="810"/>
      <c r="D6" s="812"/>
      <c r="E6" s="812"/>
      <c r="F6" s="810"/>
      <c r="G6" s="803"/>
      <c r="H6" s="804"/>
      <c r="I6" s="803"/>
      <c r="J6" s="804"/>
      <c r="K6" s="806"/>
    </row>
    <row r="7" spans="2:11" x14ac:dyDescent="0.25">
      <c r="B7" s="809"/>
      <c r="C7" s="810"/>
      <c r="D7" s="813"/>
      <c r="E7" s="813"/>
      <c r="F7" s="810"/>
      <c r="G7" s="405" t="s">
        <v>330</v>
      </c>
      <c r="H7" s="405" t="s">
        <v>331</v>
      </c>
      <c r="I7" s="405" t="s">
        <v>330</v>
      </c>
      <c r="J7" s="405" t="s">
        <v>331</v>
      </c>
      <c r="K7" s="806"/>
    </row>
    <row r="8" spans="2:11" x14ac:dyDescent="0.25">
      <c r="B8" s="508" t="s">
        <v>332</v>
      </c>
      <c r="C8" s="406" t="s">
        <v>364</v>
      </c>
      <c r="D8" s="406"/>
      <c r="E8" s="406"/>
      <c r="F8" s="406"/>
      <c r="G8" s="406"/>
      <c r="H8" s="406"/>
      <c r="I8" s="406"/>
      <c r="J8" s="406"/>
      <c r="K8" s="509"/>
    </row>
    <row r="9" spans="2:11" x14ac:dyDescent="0.25">
      <c r="B9" s="510" t="s">
        <v>333</v>
      </c>
      <c r="C9" s="407" t="s">
        <v>334</v>
      </c>
      <c r="D9" s="407"/>
      <c r="E9" s="408"/>
      <c r="F9" s="408"/>
      <c r="G9" s="408"/>
      <c r="H9" s="408"/>
      <c r="I9" s="408"/>
      <c r="J9" s="408"/>
      <c r="K9" s="511"/>
    </row>
    <row r="10" spans="2:11" x14ac:dyDescent="0.25">
      <c r="B10" s="512" t="s">
        <v>148</v>
      </c>
      <c r="C10" s="409" t="s">
        <v>149</v>
      </c>
      <c r="D10" s="410" t="s">
        <v>317</v>
      </c>
      <c r="E10" s="409" t="s">
        <v>365</v>
      </c>
      <c r="F10" s="411">
        <v>0.05</v>
      </c>
      <c r="G10" s="412">
        <v>1</v>
      </c>
      <c r="H10" s="412">
        <v>0</v>
      </c>
      <c r="I10" s="413">
        <v>23608.185399999998</v>
      </c>
      <c r="J10" s="413">
        <v>0</v>
      </c>
      <c r="K10" s="513">
        <f>TRUNC(F10*((G10*I10)+(H10*J10)),2)</f>
        <v>1180.4000000000001</v>
      </c>
    </row>
    <row r="11" spans="2:11" x14ac:dyDescent="0.25">
      <c r="B11" s="514" t="s">
        <v>155</v>
      </c>
      <c r="C11" s="414" t="s">
        <v>336</v>
      </c>
      <c r="D11" s="415" t="s">
        <v>369</v>
      </c>
      <c r="E11" s="414" t="s">
        <v>320</v>
      </c>
      <c r="F11" s="416">
        <v>0.1</v>
      </c>
      <c r="G11" s="417">
        <v>44</v>
      </c>
      <c r="H11" s="417">
        <v>176</v>
      </c>
      <c r="I11" s="418">
        <v>39.264800000000001</v>
      </c>
      <c r="J11" s="418">
        <v>5.8291000000000004</v>
      </c>
      <c r="K11" s="515">
        <f>TRUNC(F11*((G11*I11)+(H11*J11)),2)</f>
        <v>275.35000000000002</v>
      </c>
    </row>
    <row r="12" spans="2:11" x14ac:dyDescent="0.25">
      <c r="B12" s="516"/>
      <c r="C12" s="419"/>
      <c r="D12" s="420"/>
      <c r="E12" s="419"/>
      <c r="F12" s="419"/>
      <c r="G12" s="419"/>
      <c r="H12" s="419"/>
      <c r="I12" s="419"/>
      <c r="J12" s="421" t="s">
        <v>642</v>
      </c>
      <c r="K12" s="517">
        <f>SUM(K10:K11)</f>
        <v>1455.75</v>
      </c>
    </row>
    <row r="13" spans="2:11" x14ac:dyDescent="0.25">
      <c r="B13" s="518" t="s">
        <v>337</v>
      </c>
      <c r="C13" s="422" t="s">
        <v>370</v>
      </c>
      <c r="D13" s="422"/>
      <c r="E13" s="422"/>
      <c r="F13" s="422"/>
      <c r="G13" s="422"/>
      <c r="H13" s="422"/>
      <c r="I13" s="422"/>
      <c r="J13" s="422"/>
      <c r="K13" s="519"/>
    </row>
    <row r="14" spans="2:11" x14ac:dyDescent="0.25">
      <c r="B14" s="510" t="s">
        <v>333</v>
      </c>
      <c r="C14" s="407" t="s">
        <v>338</v>
      </c>
      <c r="D14" s="407"/>
      <c r="E14" s="408"/>
      <c r="F14" s="408"/>
      <c r="G14" s="408"/>
      <c r="H14" s="408"/>
      <c r="I14" s="408"/>
      <c r="J14" s="408"/>
      <c r="K14" s="511"/>
    </row>
    <row r="15" spans="2:11" x14ac:dyDescent="0.25">
      <c r="B15" s="514" t="s">
        <v>335</v>
      </c>
      <c r="C15" s="414" t="s">
        <v>151</v>
      </c>
      <c r="D15" s="415" t="s">
        <v>318</v>
      </c>
      <c r="E15" s="414" t="s">
        <v>365</v>
      </c>
      <c r="F15" s="416">
        <v>0.1</v>
      </c>
      <c r="G15" s="417">
        <v>1</v>
      </c>
      <c r="H15" s="417">
        <v>0</v>
      </c>
      <c r="I15" s="413">
        <v>7211.6832999999997</v>
      </c>
      <c r="J15" s="413">
        <v>0</v>
      </c>
      <c r="K15" s="515">
        <f>TRUNC(F15*((G15*I15)+(H15*J15)),2)</f>
        <v>721.16</v>
      </c>
    </row>
    <row r="16" spans="2:11" x14ac:dyDescent="0.25">
      <c r="B16" s="514" t="s">
        <v>155</v>
      </c>
      <c r="C16" s="414" t="s">
        <v>336</v>
      </c>
      <c r="D16" s="415" t="s">
        <v>369</v>
      </c>
      <c r="E16" s="414" t="s">
        <v>320</v>
      </c>
      <c r="F16" s="416">
        <v>0.1</v>
      </c>
      <c r="G16" s="417">
        <v>44</v>
      </c>
      <c r="H16" s="417">
        <v>176</v>
      </c>
      <c r="I16" s="418">
        <v>39.264800000000001</v>
      </c>
      <c r="J16" s="418">
        <v>5.8291000000000004</v>
      </c>
      <c r="K16" s="515">
        <f>TRUNC(F16*((G16*I16)+(H16*J16)),2)</f>
        <v>275.35000000000002</v>
      </c>
    </row>
    <row r="17" spans="2:13" x14ac:dyDescent="0.25">
      <c r="B17" s="520"/>
      <c r="C17" s="423"/>
      <c r="D17" s="424"/>
      <c r="E17" s="423"/>
      <c r="F17" s="425"/>
      <c r="G17" s="426"/>
      <c r="H17" s="426"/>
      <c r="I17" s="427"/>
      <c r="J17" s="428" t="s">
        <v>339</v>
      </c>
      <c r="K17" s="521">
        <v>1.0529999999999999</v>
      </c>
      <c r="M17" s="429"/>
    </row>
    <row r="18" spans="2:13" x14ac:dyDescent="0.25">
      <c r="B18" s="516"/>
      <c r="C18" s="419"/>
      <c r="D18" s="420"/>
      <c r="E18" s="419"/>
      <c r="F18" s="419"/>
      <c r="G18" s="419"/>
      <c r="H18" s="419"/>
      <c r="I18" s="419"/>
      <c r="J18" s="421" t="s">
        <v>643</v>
      </c>
      <c r="K18" s="517">
        <f>SUM(K15:K17)</f>
        <v>997.56299999999999</v>
      </c>
      <c r="M18" s="430"/>
    </row>
    <row r="19" spans="2:13" x14ac:dyDescent="0.25">
      <c r="B19" s="518" t="s">
        <v>340</v>
      </c>
      <c r="C19" s="422" t="s">
        <v>371</v>
      </c>
      <c r="D19" s="422"/>
      <c r="E19" s="422"/>
      <c r="F19" s="422"/>
      <c r="G19" s="422"/>
      <c r="H19" s="422"/>
      <c r="I19" s="422"/>
      <c r="J19" s="422"/>
      <c r="K19" s="519"/>
      <c r="M19" s="430"/>
    </row>
    <row r="20" spans="2:13" x14ac:dyDescent="0.25">
      <c r="B20" s="510" t="s">
        <v>333</v>
      </c>
      <c r="C20" s="407" t="s">
        <v>341</v>
      </c>
      <c r="D20" s="407"/>
      <c r="E20" s="408"/>
      <c r="F20" s="408"/>
      <c r="G20" s="408"/>
      <c r="H20" s="408"/>
      <c r="I20" s="408"/>
      <c r="J20" s="408"/>
      <c r="K20" s="511"/>
      <c r="M20" s="430"/>
    </row>
    <row r="21" spans="2:13" x14ac:dyDescent="0.25">
      <c r="B21" s="514" t="s">
        <v>148</v>
      </c>
      <c r="C21" s="414" t="s">
        <v>152</v>
      </c>
      <c r="D21" s="415" t="s">
        <v>319</v>
      </c>
      <c r="E21" s="414" t="s">
        <v>365</v>
      </c>
      <c r="F21" s="411">
        <v>0.05</v>
      </c>
      <c r="G21" s="417">
        <v>1</v>
      </c>
      <c r="H21" s="417">
        <v>0</v>
      </c>
      <c r="I21" s="413">
        <v>5641.4552999999996</v>
      </c>
      <c r="J21" s="413">
        <v>0</v>
      </c>
      <c r="K21" s="515">
        <f>TRUNC(F21*((G21*I21)+(H21*J21)),2)</f>
        <v>282.07</v>
      </c>
      <c r="M21" s="430"/>
    </row>
    <row r="22" spans="2:13" x14ac:dyDescent="0.25">
      <c r="B22" s="514" t="s">
        <v>155</v>
      </c>
      <c r="C22" s="414" t="s">
        <v>342</v>
      </c>
      <c r="D22" s="415" t="s">
        <v>380</v>
      </c>
      <c r="E22" s="414" t="s">
        <v>365</v>
      </c>
      <c r="F22" s="416">
        <v>0.1</v>
      </c>
      <c r="G22" s="417">
        <v>1</v>
      </c>
      <c r="H22" s="417">
        <v>0</v>
      </c>
      <c r="I22" s="413">
        <v>4262.3557000000001</v>
      </c>
      <c r="J22" s="413">
        <v>0</v>
      </c>
      <c r="K22" s="515">
        <f>TRUNC(F22*((G22*I22)+(H22*J22)),2)</f>
        <v>426.23</v>
      </c>
      <c r="M22" s="430"/>
    </row>
    <row r="23" spans="2:13" x14ac:dyDescent="0.25">
      <c r="B23" s="514" t="s">
        <v>157</v>
      </c>
      <c r="C23" s="414" t="s">
        <v>158</v>
      </c>
      <c r="D23" s="415" t="s">
        <v>381</v>
      </c>
      <c r="E23" s="414" t="s">
        <v>320</v>
      </c>
      <c r="F23" s="416">
        <v>0.1</v>
      </c>
      <c r="G23" s="417">
        <v>44</v>
      </c>
      <c r="H23" s="417">
        <v>176</v>
      </c>
      <c r="I23" s="413">
        <v>76.061499999999995</v>
      </c>
      <c r="J23" s="413">
        <v>38.447699999999998</v>
      </c>
      <c r="K23" s="515">
        <f>TRUNC(F23*((G23*I23)+(H23*J23)),2)</f>
        <v>1011.35</v>
      </c>
      <c r="M23" s="430"/>
    </row>
    <row r="24" spans="2:13" x14ac:dyDescent="0.25">
      <c r="B24" s="510" t="s">
        <v>373</v>
      </c>
      <c r="C24" s="407" t="s">
        <v>372</v>
      </c>
      <c r="D24" s="407"/>
      <c r="E24" s="408"/>
      <c r="F24" s="408"/>
      <c r="G24" s="408"/>
      <c r="H24" s="408"/>
      <c r="I24" s="408"/>
      <c r="J24" s="408"/>
      <c r="K24" s="511"/>
      <c r="M24" s="430"/>
    </row>
    <row r="25" spans="2:13" x14ac:dyDescent="0.25">
      <c r="B25" s="514" t="s">
        <v>366</v>
      </c>
      <c r="C25" s="414" t="s">
        <v>436</v>
      </c>
      <c r="D25" s="415" t="s">
        <v>437</v>
      </c>
      <c r="E25" s="414" t="s">
        <v>365</v>
      </c>
      <c r="F25" s="411">
        <v>0.05</v>
      </c>
      <c r="G25" s="417">
        <v>1</v>
      </c>
      <c r="H25" s="417">
        <v>0</v>
      </c>
      <c r="I25" s="413">
        <v>5822.81</v>
      </c>
      <c r="J25" s="413">
        <v>0</v>
      </c>
      <c r="K25" s="515">
        <f>TRUNC(F25*((G25*I25)+(H25*J25)),2)</f>
        <v>291.14</v>
      </c>
      <c r="M25" s="430"/>
    </row>
    <row r="26" spans="2:13" x14ac:dyDescent="0.25">
      <c r="B26" s="514" t="s">
        <v>367</v>
      </c>
      <c r="C26" s="414" t="s">
        <v>438</v>
      </c>
      <c r="D26" s="415" t="s">
        <v>439</v>
      </c>
      <c r="E26" s="414" t="s">
        <v>365</v>
      </c>
      <c r="F26" s="416">
        <v>0.1</v>
      </c>
      <c r="G26" s="417">
        <v>1</v>
      </c>
      <c r="H26" s="417">
        <v>0</v>
      </c>
      <c r="I26" s="413">
        <v>4006.9180999999999</v>
      </c>
      <c r="J26" s="413">
        <v>0</v>
      </c>
      <c r="K26" s="515">
        <f>TRUNC(F26*((G26*I26)+(H26*J26)),2)</f>
        <v>400.69</v>
      </c>
      <c r="M26" s="430"/>
    </row>
    <row r="27" spans="2:13" x14ac:dyDescent="0.25">
      <c r="B27" s="514" t="s">
        <v>368</v>
      </c>
      <c r="C27" s="414" t="s">
        <v>336</v>
      </c>
      <c r="D27" s="415" t="s">
        <v>369</v>
      </c>
      <c r="E27" s="414" t="s">
        <v>320</v>
      </c>
      <c r="F27" s="416">
        <v>0.1</v>
      </c>
      <c r="G27" s="417">
        <v>44</v>
      </c>
      <c r="H27" s="417">
        <v>176</v>
      </c>
      <c r="I27" s="413">
        <v>39.264800000000001</v>
      </c>
      <c r="J27" s="413">
        <v>5.8291000000000004</v>
      </c>
      <c r="K27" s="515">
        <f>TRUNC(F27*((G27*I27)+(H27*J27)),2)</f>
        <v>275.35000000000002</v>
      </c>
      <c r="M27" s="430"/>
    </row>
    <row r="28" spans="2:13" ht="15.75" thickBot="1" x14ac:dyDescent="0.3">
      <c r="B28" s="522"/>
      <c r="C28" s="523"/>
      <c r="D28" s="524"/>
      <c r="E28" s="523"/>
      <c r="F28" s="523"/>
      <c r="G28" s="523"/>
      <c r="H28" s="523"/>
      <c r="I28" s="523"/>
      <c r="J28" s="525" t="s">
        <v>644</v>
      </c>
      <c r="K28" s="526">
        <f>SUM(K21:K27)</f>
        <v>2686.83</v>
      </c>
      <c r="M28" s="430"/>
    </row>
    <row r="29" spans="2:13" ht="5.0999999999999996" customHeight="1" thickTop="1" thickBot="1" x14ac:dyDescent="0.3"/>
    <row r="30" spans="2:13" s="431" customFormat="1" ht="16.5" thickTop="1" thickBot="1" x14ac:dyDescent="0.3">
      <c r="B30" s="527"/>
      <c r="C30" s="528"/>
      <c r="D30" s="528"/>
      <c r="E30" s="528"/>
      <c r="F30" s="528"/>
      <c r="G30" s="528"/>
      <c r="H30" s="528"/>
      <c r="I30" s="528"/>
      <c r="J30" s="528" t="s">
        <v>343</v>
      </c>
      <c r="K30" s="529">
        <f>K12+K18+K28</f>
        <v>5140.143</v>
      </c>
    </row>
    <row r="31" spans="2:13" ht="5.0999999999999996" customHeight="1" thickTop="1" x14ac:dyDescent="0.25"/>
    <row r="33" spans="11:11" x14ac:dyDescent="0.25">
      <c r="K33" s="432">
        <f>K30*30</f>
        <v>154204.29</v>
      </c>
    </row>
  </sheetData>
  <mergeCells count="10">
    <mergeCell ref="B2:K2"/>
    <mergeCell ref="I5:J6"/>
    <mergeCell ref="K5:K7"/>
    <mergeCell ref="B5:B7"/>
    <mergeCell ref="C5:C7"/>
    <mergeCell ref="D5:D7"/>
    <mergeCell ref="E5:E7"/>
    <mergeCell ref="F5:F7"/>
    <mergeCell ref="G5:H6"/>
    <mergeCell ref="B4:K4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9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view="pageBreakPreview" zoomScaleNormal="100" zoomScaleSheetLayoutView="100" workbookViewId="0">
      <pane ySplit="4" topLeftCell="A35" activePane="bottomLeft" state="frozen"/>
      <selection activeCell="C78" sqref="C78"/>
      <selection pane="bottomLeft" activeCell="M48" sqref="M48"/>
    </sheetView>
  </sheetViews>
  <sheetFormatPr defaultRowHeight="15" x14ac:dyDescent="0.25"/>
  <cols>
    <col min="1" max="1" width="1.7109375" customWidth="1"/>
    <col min="2" max="2" width="26.42578125" bestFit="1" customWidth="1"/>
    <col min="3" max="3" width="8.7109375" bestFit="1" customWidth="1"/>
    <col min="4" max="4" width="10.7109375" customWidth="1"/>
    <col min="5" max="9" width="10.7109375" style="76" customWidth="1"/>
    <col min="10" max="10" width="1.7109375" customWidth="1"/>
  </cols>
  <sheetData>
    <row r="1" spans="2:9" x14ac:dyDescent="0.25">
      <c r="B1" s="826" t="s">
        <v>391</v>
      </c>
      <c r="C1" s="826"/>
      <c r="D1" s="826"/>
      <c r="E1" s="826"/>
      <c r="F1" s="826"/>
      <c r="G1" s="826"/>
      <c r="H1" s="826"/>
      <c r="I1" s="826"/>
    </row>
    <row r="2" spans="2:9" x14ac:dyDescent="0.25">
      <c r="B2" s="826" t="str">
        <f>Dados!B1&amp;" - "&amp;Dados!B2&amp;" - "&amp;Dados!B3</f>
        <v>BR-285/RS - km 446,200 ao km 448,600 - LD</v>
      </c>
      <c r="C2" s="826"/>
      <c r="D2" s="826"/>
      <c r="E2" s="826"/>
      <c r="F2" s="826"/>
      <c r="G2" s="826"/>
      <c r="H2" s="826"/>
      <c r="I2" s="826"/>
    </row>
    <row r="3" spans="2:9" x14ac:dyDescent="0.25">
      <c r="B3" s="832" t="s">
        <v>233</v>
      </c>
      <c r="C3" s="831" t="s">
        <v>259</v>
      </c>
      <c r="D3" s="828" t="s">
        <v>360</v>
      </c>
      <c r="E3" s="829"/>
      <c r="F3" s="830"/>
      <c r="G3" s="827" t="s">
        <v>361</v>
      </c>
      <c r="H3" s="827"/>
      <c r="I3" s="827"/>
    </row>
    <row r="4" spans="2:9" ht="30" x14ac:dyDescent="0.25">
      <c r="B4" s="832"/>
      <c r="C4" s="831"/>
      <c r="D4" s="75" t="s">
        <v>47</v>
      </c>
      <c r="E4" s="75" t="s">
        <v>209</v>
      </c>
      <c r="F4" s="75" t="s">
        <v>312</v>
      </c>
      <c r="G4" s="75" t="s">
        <v>47</v>
      </c>
      <c r="H4" s="75" t="s">
        <v>209</v>
      </c>
      <c r="I4" s="75" t="s">
        <v>312</v>
      </c>
    </row>
    <row r="5" spans="2:9" x14ac:dyDescent="0.25">
      <c r="B5" s="77" t="s">
        <v>359</v>
      </c>
      <c r="C5" s="78">
        <v>0</v>
      </c>
      <c r="D5" s="80" t="s">
        <v>388</v>
      </c>
      <c r="E5" s="110"/>
      <c r="F5" s="79"/>
      <c r="G5" s="80" t="s">
        <v>388</v>
      </c>
      <c r="H5" s="110"/>
      <c r="I5" s="79"/>
    </row>
    <row r="6" spans="2:9" x14ac:dyDescent="0.25">
      <c r="B6" s="77" t="s">
        <v>359</v>
      </c>
      <c r="C6" s="78">
        <v>20</v>
      </c>
      <c r="D6" s="80" t="s">
        <v>388</v>
      </c>
      <c r="E6" s="110"/>
      <c r="F6" s="79">
        <f>((E6+E5)*(C6-C5)/2)</f>
        <v>0</v>
      </c>
      <c r="G6" s="80" t="s">
        <v>388</v>
      </c>
      <c r="H6" s="110"/>
      <c r="I6" s="79">
        <f>((H6+H5)*(C6-C5)/2)</f>
        <v>0</v>
      </c>
    </row>
    <row r="7" spans="2:9" x14ac:dyDescent="0.25">
      <c r="B7" s="77" t="s">
        <v>359</v>
      </c>
      <c r="C7" s="78">
        <v>40</v>
      </c>
      <c r="D7" s="80" t="s">
        <v>388</v>
      </c>
      <c r="E7" s="110"/>
      <c r="F7" s="79">
        <f t="shared" ref="F7:F28" si="0">((E7+E6)*(C7-C6)/2)</f>
        <v>0</v>
      </c>
      <c r="G7" s="80" t="s">
        <v>388</v>
      </c>
      <c r="H7" s="110"/>
      <c r="I7" s="79">
        <f t="shared" ref="I7:I28" si="1">((H7+H6)*(C7-C6)/2)</f>
        <v>0</v>
      </c>
    </row>
    <row r="8" spans="2:9" x14ac:dyDescent="0.25">
      <c r="B8" s="77" t="s">
        <v>359</v>
      </c>
      <c r="C8" s="78">
        <v>60</v>
      </c>
      <c r="D8" s="80" t="s">
        <v>388</v>
      </c>
      <c r="E8" s="110"/>
      <c r="F8" s="79">
        <f t="shared" si="0"/>
        <v>0</v>
      </c>
      <c r="G8" s="80" t="s">
        <v>388</v>
      </c>
      <c r="H8" s="110"/>
      <c r="I8" s="79">
        <f t="shared" si="1"/>
        <v>0</v>
      </c>
    </row>
    <row r="9" spans="2:9" x14ac:dyDescent="0.25">
      <c r="B9" s="77" t="s">
        <v>359</v>
      </c>
      <c r="C9" s="78">
        <v>80</v>
      </c>
      <c r="D9" s="80" t="s">
        <v>388</v>
      </c>
      <c r="E9" s="110"/>
      <c r="F9" s="79">
        <f t="shared" si="0"/>
        <v>0</v>
      </c>
      <c r="G9" s="80" t="s">
        <v>388</v>
      </c>
      <c r="H9" s="110"/>
      <c r="I9" s="79">
        <f t="shared" si="1"/>
        <v>0</v>
      </c>
    </row>
    <row r="10" spans="2:9" x14ac:dyDescent="0.25">
      <c r="B10" s="77" t="s">
        <v>359</v>
      </c>
      <c r="C10" s="78">
        <v>100</v>
      </c>
      <c r="D10" s="80" t="s">
        <v>388</v>
      </c>
      <c r="E10" s="110"/>
      <c r="F10" s="79">
        <f t="shared" si="0"/>
        <v>0</v>
      </c>
      <c r="G10" s="80" t="s">
        <v>388</v>
      </c>
      <c r="H10" s="110"/>
      <c r="I10" s="79">
        <f t="shared" si="1"/>
        <v>0</v>
      </c>
    </row>
    <row r="11" spans="2:9" x14ac:dyDescent="0.25">
      <c r="B11" s="77" t="s">
        <v>359</v>
      </c>
      <c r="C11" s="78">
        <v>120</v>
      </c>
      <c r="D11" s="80" t="s">
        <v>388</v>
      </c>
      <c r="E11" s="110"/>
      <c r="F11" s="79">
        <f t="shared" si="0"/>
        <v>0</v>
      </c>
      <c r="G11" s="80" t="s">
        <v>388</v>
      </c>
      <c r="H11" s="110"/>
      <c r="I11" s="79">
        <f t="shared" si="1"/>
        <v>0</v>
      </c>
    </row>
    <row r="12" spans="2:9" x14ac:dyDescent="0.25">
      <c r="B12" s="77" t="s">
        <v>359</v>
      </c>
      <c r="C12" s="78">
        <v>140</v>
      </c>
      <c r="D12" s="80" t="s">
        <v>388</v>
      </c>
      <c r="E12" s="110"/>
      <c r="F12" s="79">
        <f t="shared" si="0"/>
        <v>0</v>
      </c>
      <c r="G12" s="80" t="s">
        <v>388</v>
      </c>
      <c r="H12" s="110"/>
      <c r="I12" s="79">
        <f t="shared" si="1"/>
        <v>0</v>
      </c>
    </row>
    <row r="13" spans="2:9" x14ac:dyDescent="0.25">
      <c r="B13" s="77" t="s">
        <v>359</v>
      </c>
      <c r="C13" s="78">
        <v>160</v>
      </c>
      <c r="D13" s="80" t="s">
        <v>388</v>
      </c>
      <c r="E13" s="110"/>
      <c r="F13" s="79">
        <f t="shared" si="0"/>
        <v>0</v>
      </c>
      <c r="G13" s="80" t="s">
        <v>388</v>
      </c>
      <c r="H13" s="110"/>
      <c r="I13" s="79">
        <f t="shared" si="1"/>
        <v>0</v>
      </c>
    </row>
    <row r="14" spans="2:9" x14ac:dyDescent="0.25">
      <c r="B14" s="77" t="s">
        <v>359</v>
      </c>
      <c r="C14" s="78">
        <v>180</v>
      </c>
      <c r="D14" s="80" t="s">
        <v>388</v>
      </c>
      <c r="E14" s="110"/>
      <c r="F14" s="79">
        <f t="shared" si="0"/>
        <v>0</v>
      </c>
      <c r="G14" s="80" t="s">
        <v>388</v>
      </c>
      <c r="H14" s="110"/>
      <c r="I14" s="79">
        <f t="shared" si="1"/>
        <v>0</v>
      </c>
    </row>
    <row r="15" spans="2:9" x14ac:dyDescent="0.25">
      <c r="B15" s="77" t="s">
        <v>359</v>
      </c>
      <c r="C15" s="78">
        <v>200</v>
      </c>
      <c r="D15" s="80" t="s">
        <v>388</v>
      </c>
      <c r="E15" s="110"/>
      <c r="F15" s="79">
        <f t="shared" si="0"/>
        <v>0</v>
      </c>
      <c r="G15" s="80" t="s">
        <v>388</v>
      </c>
      <c r="H15" s="110"/>
      <c r="I15" s="79">
        <f t="shared" si="1"/>
        <v>0</v>
      </c>
    </row>
    <row r="16" spans="2:9" x14ac:dyDescent="0.25">
      <c r="B16" s="77" t="s">
        <v>359</v>
      </c>
      <c r="C16" s="78">
        <v>220</v>
      </c>
      <c r="D16" s="80" t="s">
        <v>388</v>
      </c>
      <c r="E16" s="110"/>
      <c r="F16" s="79">
        <f t="shared" si="0"/>
        <v>0</v>
      </c>
      <c r="G16" s="80" t="s">
        <v>388</v>
      </c>
      <c r="H16" s="110"/>
      <c r="I16" s="79">
        <f t="shared" si="1"/>
        <v>0</v>
      </c>
    </row>
    <row r="17" spans="2:9" x14ac:dyDescent="0.25">
      <c r="B17" s="77" t="s">
        <v>359</v>
      </c>
      <c r="C17" s="78">
        <v>240</v>
      </c>
      <c r="D17" s="80" t="s">
        <v>388</v>
      </c>
      <c r="E17" s="110"/>
      <c r="F17" s="79">
        <f t="shared" si="0"/>
        <v>0</v>
      </c>
      <c r="G17" s="80" t="s">
        <v>388</v>
      </c>
      <c r="H17" s="110"/>
      <c r="I17" s="79">
        <f t="shared" si="1"/>
        <v>0</v>
      </c>
    </row>
    <row r="18" spans="2:9" x14ac:dyDescent="0.25">
      <c r="B18" s="77" t="s">
        <v>359</v>
      </c>
      <c r="C18" s="78">
        <v>260</v>
      </c>
      <c r="D18" s="80" t="s">
        <v>388</v>
      </c>
      <c r="E18" s="110"/>
      <c r="F18" s="79">
        <f t="shared" si="0"/>
        <v>0</v>
      </c>
      <c r="G18" s="80" t="s">
        <v>388</v>
      </c>
      <c r="H18" s="110"/>
      <c r="I18" s="79">
        <f t="shared" si="1"/>
        <v>0</v>
      </c>
    </row>
    <row r="19" spans="2:9" x14ac:dyDescent="0.25">
      <c r="B19" s="77" t="s">
        <v>359</v>
      </c>
      <c r="C19" s="78">
        <v>280</v>
      </c>
      <c r="D19" s="80" t="s">
        <v>388</v>
      </c>
      <c r="E19" s="110"/>
      <c r="F19" s="79">
        <f t="shared" si="0"/>
        <v>0</v>
      </c>
      <c r="G19" s="80" t="s">
        <v>388</v>
      </c>
      <c r="H19" s="110"/>
      <c r="I19" s="79">
        <f t="shared" si="1"/>
        <v>0</v>
      </c>
    </row>
    <row r="20" spans="2:9" x14ac:dyDescent="0.25">
      <c r="B20" s="77" t="s">
        <v>359</v>
      </c>
      <c r="C20" s="78">
        <v>300</v>
      </c>
      <c r="D20" s="80" t="s">
        <v>388</v>
      </c>
      <c r="E20" s="110"/>
      <c r="F20" s="79">
        <f t="shared" si="0"/>
        <v>0</v>
      </c>
      <c r="G20" s="80" t="s">
        <v>388</v>
      </c>
      <c r="H20" s="110"/>
      <c r="I20" s="79">
        <f t="shared" si="1"/>
        <v>0</v>
      </c>
    </row>
    <row r="21" spans="2:9" x14ac:dyDescent="0.25">
      <c r="B21" s="77" t="s">
        <v>359</v>
      </c>
      <c r="C21" s="78">
        <v>320</v>
      </c>
      <c r="D21" s="80" t="s">
        <v>388</v>
      </c>
      <c r="E21" s="110"/>
      <c r="F21" s="79">
        <f t="shared" si="0"/>
        <v>0</v>
      </c>
      <c r="G21" s="80" t="s">
        <v>388</v>
      </c>
      <c r="H21" s="110"/>
      <c r="I21" s="79">
        <f t="shared" si="1"/>
        <v>0</v>
      </c>
    </row>
    <row r="22" spans="2:9" x14ac:dyDescent="0.25">
      <c r="B22" s="77" t="s">
        <v>359</v>
      </c>
      <c r="C22" s="78">
        <v>340</v>
      </c>
      <c r="D22" s="80" t="s">
        <v>388</v>
      </c>
      <c r="E22" s="110"/>
      <c r="F22" s="79">
        <f t="shared" si="0"/>
        <v>0</v>
      </c>
      <c r="G22" s="80" t="s">
        <v>388</v>
      </c>
      <c r="H22" s="110"/>
      <c r="I22" s="79">
        <f t="shared" si="1"/>
        <v>0</v>
      </c>
    </row>
    <row r="23" spans="2:9" x14ac:dyDescent="0.25">
      <c r="B23" s="77" t="s">
        <v>359</v>
      </c>
      <c r="C23" s="78">
        <v>360</v>
      </c>
      <c r="D23" s="80" t="s">
        <v>388</v>
      </c>
      <c r="E23" s="110"/>
      <c r="F23" s="79">
        <f t="shared" si="0"/>
        <v>0</v>
      </c>
      <c r="G23" s="80" t="s">
        <v>388</v>
      </c>
      <c r="H23" s="110"/>
      <c r="I23" s="79">
        <f t="shared" si="1"/>
        <v>0</v>
      </c>
    </row>
    <row r="24" spans="2:9" x14ac:dyDescent="0.25">
      <c r="B24" s="77" t="s">
        <v>359</v>
      </c>
      <c r="C24" s="78">
        <v>380</v>
      </c>
      <c r="D24" s="80" t="s">
        <v>388</v>
      </c>
      <c r="E24" s="110"/>
      <c r="F24" s="79">
        <f t="shared" si="0"/>
        <v>0</v>
      </c>
      <c r="G24" s="80" t="s">
        <v>388</v>
      </c>
      <c r="H24" s="110"/>
      <c r="I24" s="79">
        <f t="shared" si="1"/>
        <v>0</v>
      </c>
    </row>
    <row r="25" spans="2:9" x14ac:dyDescent="0.25">
      <c r="B25" s="77" t="s">
        <v>359</v>
      </c>
      <c r="C25" s="78">
        <v>400</v>
      </c>
      <c r="D25" s="80" t="s">
        <v>388</v>
      </c>
      <c r="E25" s="110"/>
      <c r="F25" s="79">
        <f t="shared" si="0"/>
        <v>0</v>
      </c>
      <c r="G25" s="80" t="s">
        <v>388</v>
      </c>
      <c r="H25" s="110"/>
      <c r="I25" s="79">
        <f t="shared" si="1"/>
        <v>0</v>
      </c>
    </row>
    <row r="26" spans="2:9" x14ac:dyDescent="0.25">
      <c r="B26" s="77" t="s">
        <v>359</v>
      </c>
      <c r="C26" s="78">
        <v>420</v>
      </c>
      <c r="D26" s="80" t="s">
        <v>388</v>
      </c>
      <c r="E26" s="110"/>
      <c r="F26" s="79">
        <f t="shared" si="0"/>
        <v>0</v>
      </c>
      <c r="G26" s="80" t="s">
        <v>388</v>
      </c>
      <c r="H26" s="110"/>
      <c r="I26" s="79">
        <f t="shared" si="1"/>
        <v>0</v>
      </c>
    </row>
    <row r="27" spans="2:9" x14ac:dyDescent="0.25">
      <c r="B27" s="77" t="s">
        <v>359</v>
      </c>
      <c r="C27" s="78">
        <v>440</v>
      </c>
      <c r="D27" s="80" t="s">
        <v>388</v>
      </c>
      <c r="E27" s="110"/>
      <c r="F27" s="79">
        <f t="shared" si="0"/>
        <v>0</v>
      </c>
      <c r="G27" s="80" t="s">
        <v>388</v>
      </c>
      <c r="H27" s="110"/>
      <c r="I27" s="79">
        <f t="shared" si="1"/>
        <v>0</v>
      </c>
    </row>
    <row r="28" spans="2:9" x14ac:dyDescent="0.25">
      <c r="B28" s="77" t="s">
        <v>359</v>
      </c>
      <c r="C28" s="78">
        <v>450</v>
      </c>
      <c r="D28" s="80" t="s">
        <v>388</v>
      </c>
      <c r="E28" s="110"/>
      <c r="F28" s="79">
        <f t="shared" si="0"/>
        <v>0</v>
      </c>
      <c r="G28" s="80" t="s">
        <v>388</v>
      </c>
      <c r="H28" s="110"/>
      <c r="I28" s="79">
        <f t="shared" si="1"/>
        <v>0</v>
      </c>
    </row>
    <row r="29" spans="2:9" x14ac:dyDescent="0.25">
      <c r="D29" s="76"/>
      <c r="G29"/>
    </row>
    <row r="30" spans="2:9" x14ac:dyDescent="0.25">
      <c r="B30" s="77" t="s">
        <v>362</v>
      </c>
      <c r="C30" s="78">
        <v>0</v>
      </c>
      <c r="D30" s="80" t="s">
        <v>388</v>
      </c>
      <c r="E30" s="110"/>
      <c r="F30" s="79"/>
      <c r="G30" s="80" t="s">
        <v>388</v>
      </c>
      <c r="H30" s="110"/>
      <c r="I30" s="79"/>
    </row>
    <row r="31" spans="2:9" x14ac:dyDescent="0.25">
      <c r="B31" s="77" t="s">
        <v>362</v>
      </c>
      <c r="C31" s="78">
        <f>C30+10</f>
        <v>10</v>
      </c>
      <c r="D31" s="80" t="s">
        <v>388</v>
      </c>
      <c r="E31" s="110"/>
      <c r="F31" s="79">
        <f t="shared" ref="F31:F32" si="2">((E31+E30)*(C31-C30)/2)</f>
        <v>0</v>
      </c>
      <c r="G31" s="80" t="s">
        <v>388</v>
      </c>
      <c r="H31" s="110"/>
      <c r="I31" s="79">
        <f t="shared" ref="I31:I32" si="3">((H31+H30)*(C31-C30)/2)</f>
        <v>0</v>
      </c>
    </row>
    <row r="32" spans="2:9" x14ac:dyDescent="0.25">
      <c r="B32" s="77" t="s">
        <v>362</v>
      </c>
      <c r="C32" s="78">
        <f>C31+10</f>
        <v>20</v>
      </c>
      <c r="D32" s="80" t="s">
        <v>388</v>
      </c>
      <c r="E32" s="110"/>
      <c r="F32" s="79">
        <f t="shared" si="2"/>
        <v>0</v>
      </c>
      <c r="G32" s="80" t="s">
        <v>388</v>
      </c>
      <c r="H32" s="110"/>
      <c r="I32" s="79">
        <f t="shared" si="3"/>
        <v>0</v>
      </c>
    </row>
    <row r="33" spans="2:9" x14ac:dyDescent="0.25">
      <c r="D33" s="76"/>
      <c r="E33" s="111"/>
      <c r="H33" s="111"/>
    </row>
    <row r="34" spans="2:9" x14ac:dyDescent="0.25">
      <c r="B34" s="77" t="s">
        <v>363</v>
      </c>
      <c r="C34" s="78">
        <v>0</v>
      </c>
      <c r="D34" s="80" t="s">
        <v>388</v>
      </c>
      <c r="E34" s="110"/>
      <c r="F34" s="79"/>
      <c r="G34" s="80" t="s">
        <v>388</v>
      </c>
      <c r="H34" s="110"/>
      <c r="I34" s="79"/>
    </row>
    <row r="35" spans="2:9" x14ac:dyDescent="0.25">
      <c r="B35" s="77" t="s">
        <v>363</v>
      </c>
      <c r="C35" s="78">
        <f>C34+10</f>
        <v>10</v>
      </c>
      <c r="D35" s="80" t="s">
        <v>388</v>
      </c>
      <c r="E35" s="110"/>
      <c r="F35" s="79">
        <f t="shared" ref="F35:F36" si="4">((E35+E34)*(C35-C34)/2)</f>
        <v>0</v>
      </c>
      <c r="G35" s="80" t="s">
        <v>388</v>
      </c>
      <c r="H35" s="110"/>
      <c r="I35" s="79">
        <f t="shared" ref="I35:I36" si="5">((H35+H34)*(C35-C34)/2)</f>
        <v>0</v>
      </c>
    </row>
    <row r="36" spans="2:9" x14ac:dyDescent="0.25">
      <c r="B36" s="77" t="s">
        <v>363</v>
      </c>
      <c r="C36" s="78">
        <f>C35+10</f>
        <v>20</v>
      </c>
      <c r="D36" s="80" t="s">
        <v>388</v>
      </c>
      <c r="E36" s="110"/>
      <c r="F36" s="79">
        <f t="shared" si="4"/>
        <v>0</v>
      </c>
      <c r="G36" s="80" t="s">
        <v>388</v>
      </c>
      <c r="H36" s="110"/>
      <c r="I36" s="79">
        <f t="shared" si="5"/>
        <v>0</v>
      </c>
    </row>
    <row r="37" spans="2:9" x14ac:dyDescent="0.25">
      <c r="D37" s="76"/>
      <c r="E37" s="111"/>
      <c r="H37" s="111"/>
    </row>
    <row r="38" spans="2:9" x14ac:dyDescent="0.25">
      <c r="B38" s="77" t="s">
        <v>432</v>
      </c>
      <c r="C38" s="78">
        <v>0</v>
      </c>
      <c r="D38" s="80" t="s">
        <v>388</v>
      </c>
      <c r="E38" s="110"/>
      <c r="F38" s="79"/>
      <c r="G38" s="80" t="s">
        <v>388</v>
      </c>
      <c r="H38" s="110"/>
      <c r="I38" s="79"/>
    </row>
    <row r="39" spans="2:9" x14ac:dyDescent="0.25">
      <c r="B39" s="77" t="s">
        <v>432</v>
      </c>
      <c r="C39" s="78">
        <v>20</v>
      </c>
      <c r="D39" s="80" t="s">
        <v>388</v>
      </c>
      <c r="E39" s="110"/>
      <c r="F39" s="79">
        <f t="shared" ref="F39:F40" si="6">((E39+E38)*(C39-C38)/2)</f>
        <v>0</v>
      </c>
      <c r="G39" s="80" t="s">
        <v>388</v>
      </c>
      <c r="H39" s="110"/>
      <c r="I39" s="79">
        <f t="shared" ref="I39:I40" si="7">((H39+H38)*(C39-C38)/2)</f>
        <v>0</v>
      </c>
    </row>
    <row r="40" spans="2:9" x14ac:dyDescent="0.25">
      <c r="B40" s="77" t="s">
        <v>432</v>
      </c>
      <c r="C40" s="78">
        <v>40</v>
      </c>
      <c r="D40" s="80" t="s">
        <v>388</v>
      </c>
      <c r="E40" s="110"/>
      <c r="F40" s="79">
        <f t="shared" si="6"/>
        <v>0</v>
      </c>
      <c r="G40" s="80" t="s">
        <v>388</v>
      </c>
      <c r="H40" s="110"/>
      <c r="I40" s="79">
        <f t="shared" si="7"/>
        <v>0</v>
      </c>
    </row>
    <row r="41" spans="2:9" x14ac:dyDescent="0.25">
      <c r="B41" s="77"/>
      <c r="C41" s="78"/>
      <c r="D41" s="80"/>
      <c r="E41" s="110"/>
      <c r="F41" s="79"/>
      <c r="G41" s="79"/>
      <c r="H41" s="110"/>
      <c r="I41" s="79"/>
    </row>
    <row r="43" spans="2:9" x14ac:dyDescent="0.25">
      <c r="B43" s="820" t="s">
        <v>276</v>
      </c>
      <c r="C43" s="821"/>
      <c r="D43" s="817" t="s">
        <v>360</v>
      </c>
      <c r="E43" s="818"/>
      <c r="F43" s="819"/>
      <c r="G43" s="817" t="s">
        <v>361</v>
      </c>
      <c r="H43" s="818"/>
      <c r="I43" s="819"/>
    </row>
    <row r="44" spans="2:9" x14ac:dyDescent="0.25">
      <c r="B44" s="822"/>
      <c r="C44" s="823"/>
      <c r="D44" s="87" t="s">
        <v>388</v>
      </c>
      <c r="E44" s="83"/>
      <c r="F44" s="84">
        <v>300</v>
      </c>
      <c r="G44" s="87" t="s">
        <v>388</v>
      </c>
      <c r="H44" s="83"/>
      <c r="I44" s="84">
        <v>1500</v>
      </c>
    </row>
    <row r="45" spans="2:9" x14ac:dyDescent="0.25">
      <c r="B45" s="824"/>
      <c r="C45" s="825"/>
      <c r="D45" s="88" t="s">
        <v>389</v>
      </c>
      <c r="E45" s="85"/>
      <c r="F45" s="86">
        <f>SUMIF(D5:D41,D45,F5:F41)</f>
        <v>0</v>
      </c>
      <c r="G45" s="88" t="s">
        <v>389</v>
      </c>
      <c r="H45" s="85"/>
      <c r="I45" s="86">
        <f>SUMIF(G5:G41,G45,I5:I41)</f>
        <v>0</v>
      </c>
    </row>
  </sheetData>
  <mergeCells count="9">
    <mergeCell ref="D43:F43"/>
    <mergeCell ref="G43:I43"/>
    <mergeCell ref="B43:C45"/>
    <mergeCell ref="B1:I1"/>
    <mergeCell ref="B2:I2"/>
    <mergeCell ref="G3:I3"/>
    <mergeCell ref="D3:F3"/>
    <mergeCell ref="C3:C4"/>
    <mergeCell ref="B3:B4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9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view="pageBreakPreview" zoomScaleNormal="100" zoomScaleSheetLayoutView="100" workbookViewId="0">
      <pane ySplit="5" topLeftCell="A6" activePane="bottomLeft" state="frozen"/>
      <selection activeCell="C78" sqref="C78"/>
      <selection pane="bottomLeft" activeCell="K23" sqref="K23"/>
    </sheetView>
  </sheetViews>
  <sheetFormatPr defaultRowHeight="15" x14ac:dyDescent="0.25"/>
  <cols>
    <col min="1" max="1" width="1.7109375" style="30" customWidth="1"/>
    <col min="2" max="2" width="24.5703125" style="30" bestFit="1" customWidth="1"/>
    <col min="3" max="4" width="8" style="30" bestFit="1" customWidth="1"/>
    <col min="5" max="5" width="11.85546875" style="30" bestFit="1" customWidth="1"/>
    <col min="6" max="6" width="9.5703125" style="30" bestFit="1" customWidth="1"/>
    <col min="7" max="10" width="12.7109375" style="30" customWidth="1"/>
    <col min="11" max="11" width="14.5703125" style="30" customWidth="1"/>
    <col min="12" max="12" width="1.7109375" style="30" customWidth="1"/>
    <col min="13" max="13" width="12.28515625" style="30" customWidth="1"/>
    <col min="14" max="16384" width="9.140625" style="30"/>
  </cols>
  <sheetData>
    <row r="1" spans="2:13" ht="5.0999999999999996" customHeight="1" x14ac:dyDescent="0.25"/>
    <row r="2" spans="2:13" x14ac:dyDescent="0.25">
      <c r="B2" s="833" t="s">
        <v>313</v>
      </c>
      <c r="C2" s="834"/>
      <c r="D2" s="834"/>
      <c r="E2" s="834"/>
      <c r="F2" s="834"/>
      <c r="G2" s="834"/>
      <c r="H2" s="834"/>
      <c r="I2" s="834"/>
      <c r="J2" s="834"/>
      <c r="K2" s="835"/>
    </row>
    <row r="3" spans="2:13" x14ac:dyDescent="0.25">
      <c r="B3" s="833" t="str">
        <f>Dados!B1&amp;" - "&amp;Dados!B2&amp;" - "&amp;Dados!B3</f>
        <v>BR-285/RS - km 446,200 ao km 448,600 - LD</v>
      </c>
      <c r="C3" s="834"/>
      <c r="D3" s="834"/>
      <c r="E3" s="834"/>
      <c r="F3" s="834"/>
      <c r="G3" s="834"/>
      <c r="H3" s="834"/>
      <c r="I3" s="834"/>
      <c r="J3" s="834"/>
      <c r="K3" s="835"/>
    </row>
    <row r="4" spans="2:13" ht="15" customHeight="1" x14ac:dyDescent="0.25">
      <c r="B4" s="837" t="s">
        <v>233</v>
      </c>
      <c r="C4" s="837"/>
      <c r="D4" s="837"/>
      <c r="E4" s="836" t="s">
        <v>315</v>
      </c>
      <c r="F4" s="836" t="s">
        <v>286</v>
      </c>
      <c r="G4" s="836" t="s">
        <v>308</v>
      </c>
      <c r="H4" s="836"/>
      <c r="I4" s="836"/>
      <c r="J4" s="836"/>
      <c r="K4" s="838" t="s">
        <v>312</v>
      </c>
    </row>
    <row r="5" spans="2:13" x14ac:dyDescent="0.25">
      <c r="B5" s="39" t="s">
        <v>293</v>
      </c>
      <c r="C5" s="39" t="s">
        <v>250</v>
      </c>
      <c r="D5" s="39" t="s">
        <v>251</v>
      </c>
      <c r="E5" s="837"/>
      <c r="F5" s="837"/>
      <c r="G5" s="39" t="s">
        <v>309</v>
      </c>
      <c r="H5" s="39" t="s">
        <v>311</v>
      </c>
      <c r="I5" s="39" t="s">
        <v>221</v>
      </c>
      <c r="J5" s="39" t="s">
        <v>310</v>
      </c>
      <c r="K5" s="839"/>
    </row>
    <row r="6" spans="2:13" x14ac:dyDescent="0.25">
      <c r="B6" s="5" t="s">
        <v>225</v>
      </c>
      <c r="C6" s="34">
        <v>542170</v>
      </c>
      <c r="D6" s="34">
        <v>542460</v>
      </c>
      <c r="E6" s="72">
        <v>0.01</v>
      </c>
      <c r="F6" s="33">
        <f>D6-C6</f>
        <v>290</v>
      </c>
      <c r="G6" s="33"/>
      <c r="H6" s="33"/>
      <c r="I6" s="33"/>
      <c r="J6" s="33">
        <f>G6*H6*I6</f>
        <v>0</v>
      </c>
      <c r="K6" s="33">
        <f>J6*F6</f>
        <v>0</v>
      </c>
      <c r="M6" s="30">
        <v>283</v>
      </c>
    </row>
    <row r="7" spans="2:13" x14ac:dyDescent="0.25">
      <c r="B7" s="5" t="s">
        <v>225</v>
      </c>
      <c r="C7" s="34">
        <v>542480</v>
      </c>
      <c r="D7" s="34">
        <v>542660</v>
      </c>
      <c r="E7" s="72">
        <v>0.01</v>
      </c>
      <c r="F7" s="33">
        <f>D7-C7</f>
        <v>180</v>
      </c>
      <c r="G7" s="33"/>
      <c r="H7" s="33"/>
      <c r="I7" s="33"/>
      <c r="J7" s="33">
        <f t="shared" ref="J7:J8" si="0">G7*H7*I7</f>
        <v>0</v>
      </c>
      <c r="K7" s="33">
        <f t="shared" ref="K7:K8" si="1">J7*F7</f>
        <v>0</v>
      </c>
      <c r="M7" s="30">
        <v>184</v>
      </c>
    </row>
    <row r="8" spans="2:13" x14ac:dyDescent="0.25">
      <c r="B8" s="5" t="s">
        <v>399</v>
      </c>
      <c r="C8" s="34">
        <v>542360</v>
      </c>
      <c r="D8" s="34">
        <f>C8+157</f>
        <v>542517</v>
      </c>
      <c r="E8" s="72">
        <v>0.01</v>
      </c>
      <c r="F8" s="33">
        <f>D8-C8</f>
        <v>157</v>
      </c>
      <c r="G8" s="33"/>
      <c r="H8" s="33"/>
      <c r="I8" s="33"/>
      <c r="J8" s="33">
        <f t="shared" si="0"/>
        <v>0</v>
      </c>
      <c r="K8" s="33">
        <f t="shared" si="1"/>
        <v>0</v>
      </c>
      <c r="M8" s="30">
        <v>157</v>
      </c>
    </row>
    <row r="9" spans="2:13" x14ac:dyDescent="0.25">
      <c r="B9" s="5"/>
      <c r="C9" s="34"/>
      <c r="D9" s="34"/>
      <c r="E9" s="72"/>
      <c r="F9" s="33"/>
      <c r="G9" s="33"/>
      <c r="H9" s="33"/>
      <c r="I9" s="33"/>
      <c r="J9" s="33"/>
      <c r="K9" s="33"/>
    </row>
    <row r="10" spans="2:13" x14ac:dyDescent="0.25">
      <c r="B10" s="5" t="s">
        <v>440</v>
      </c>
      <c r="C10" s="34">
        <v>512600</v>
      </c>
      <c r="D10" s="34">
        <v>512900</v>
      </c>
      <c r="E10" s="72">
        <v>0.01</v>
      </c>
      <c r="F10" s="33">
        <f>D10-C10</f>
        <v>300</v>
      </c>
      <c r="G10" s="33"/>
      <c r="H10" s="33"/>
      <c r="I10" s="33"/>
      <c r="J10" s="33">
        <f t="shared" ref="J10" si="2">G10*H10*I10</f>
        <v>0</v>
      </c>
      <c r="K10" s="33">
        <f t="shared" ref="K10" si="3">J10*F10</f>
        <v>0</v>
      </c>
    </row>
    <row r="11" spans="2:13" x14ac:dyDescent="0.25">
      <c r="B11" s="5"/>
      <c r="C11" s="34"/>
      <c r="D11" s="34"/>
      <c r="E11" s="72"/>
      <c r="F11" s="33"/>
      <c r="G11" s="33"/>
      <c r="H11" s="33"/>
      <c r="I11" s="33"/>
      <c r="J11" s="33"/>
      <c r="K11" s="33"/>
    </row>
    <row r="12" spans="2:13" x14ac:dyDescent="0.25">
      <c r="B12" s="5"/>
      <c r="C12" s="34"/>
      <c r="D12" s="34"/>
      <c r="E12" s="72"/>
      <c r="F12" s="33"/>
      <c r="G12" s="33"/>
      <c r="H12" s="33"/>
      <c r="I12" s="33"/>
      <c r="J12" s="33"/>
      <c r="K12" s="33"/>
    </row>
    <row r="13" spans="2:13" x14ac:dyDescent="0.25">
      <c r="B13" s="5"/>
      <c r="C13" s="34"/>
      <c r="D13" s="34"/>
      <c r="E13" s="34"/>
      <c r="F13" s="33"/>
      <c r="G13" s="33"/>
      <c r="H13" s="33"/>
      <c r="I13" s="33"/>
      <c r="J13" s="33"/>
      <c r="K13" s="33"/>
    </row>
    <row r="14" spans="2:13" x14ac:dyDescent="0.25">
      <c r="B14" s="5"/>
      <c r="C14" s="34"/>
      <c r="D14" s="34"/>
      <c r="E14" s="34"/>
      <c r="F14" s="33"/>
      <c r="G14" s="33"/>
      <c r="H14" s="33"/>
      <c r="I14" s="33"/>
      <c r="J14" s="33"/>
      <c r="K14" s="33"/>
    </row>
    <row r="15" spans="2:13" x14ac:dyDescent="0.25">
      <c r="B15" s="5"/>
      <c r="C15" s="34"/>
      <c r="D15" s="34"/>
      <c r="E15" s="34"/>
      <c r="F15" s="33"/>
      <c r="G15" s="33"/>
      <c r="H15" s="33"/>
      <c r="I15" s="33"/>
      <c r="J15" s="33"/>
      <c r="K15" s="33"/>
    </row>
    <row r="16" spans="2:13" x14ac:dyDescent="0.25">
      <c r="B16" s="5"/>
      <c r="C16" s="34"/>
      <c r="D16" s="34"/>
      <c r="E16" s="34"/>
      <c r="F16" s="33"/>
      <c r="G16" s="33"/>
      <c r="H16" s="33"/>
      <c r="I16" s="33"/>
      <c r="J16" s="33"/>
      <c r="K16" s="33"/>
    </row>
    <row r="17" spans="2:11" x14ac:dyDescent="0.25">
      <c r="B17" s="5"/>
      <c r="C17" s="34"/>
      <c r="D17" s="34"/>
      <c r="E17" s="34"/>
      <c r="F17" s="33"/>
      <c r="G17" s="33"/>
      <c r="H17" s="33"/>
      <c r="I17" s="33"/>
      <c r="J17" s="33"/>
      <c r="K17" s="33"/>
    </row>
    <row r="18" spans="2:11" x14ac:dyDescent="0.25">
      <c r="B18" s="5"/>
      <c r="C18" s="34"/>
      <c r="D18" s="34"/>
      <c r="E18" s="34"/>
      <c r="F18" s="33"/>
      <c r="G18" s="33"/>
      <c r="H18" s="33"/>
      <c r="I18" s="33"/>
      <c r="J18" s="33"/>
      <c r="K18" s="33"/>
    </row>
    <row r="19" spans="2:11" x14ac:dyDescent="0.25">
      <c r="B19" s="5"/>
      <c r="C19" s="34"/>
      <c r="D19" s="34"/>
      <c r="E19" s="34"/>
      <c r="F19" s="33"/>
      <c r="G19" s="33"/>
      <c r="H19" s="33"/>
      <c r="I19" s="33"/>
      <c r="J19" s="33"/>
      <c r="K19" s="33"/>
    </row>
    <row r="20" spans="2:11" x14ac:dyDescent="0.25">
      <c r="B20" s="5"/>
      <c r="C20" s="34"/>
      <c r="D20" s="34"/>
      <c r="E20" s="34"/>
      <c r="F20" s="33"/>
      <c r="G20" s="33"/>
      <c r="H20" s="33"/>
      <c r="I20" s="33"/>
      <c r="J20" s="33"/>
      <c r="K20" s="33"/>
    </row>
    <row r="21" spans="2:11" x14ac:dyDescent="0.25">
      <c r="B21" s="5"/>
      <c r="C21" s="34"/>
      <c r="D21" s="34"/>
      <c r="E21" s="34"/>
      <c r="F21" s="33"/>
      <c r="G21" s="33"/>
      <c r="H21" s="33"/>
      <c r="I21" s="33"/>
      <c r="J21" s="33"/>
      <c r="K21" s="33"/>
    </row>
    <row r="22" spans="2:11" x14ac:dyDescent="0.25">
      <c r="B22" s="46"/>
      <c r="C22" s="47"/>
      <c r="D22" s="47"/>
      <c r="E22" s="47"/>
      <c r="F22" s="47"/>
      <c r="G22" s="47"/>
      <c r="H22" s="47"/>
      <c r="I22" s="47"/>
      <c r="J22" s="40" t="s">
        <v>314</v>
      </c>
      <c r="K22" s="71">
        <v>590</v>
      </c>
    </row>
    <row r="23" spans="2:11" ht="5.0999999999999996" customHeight="1" x14ac:dyDescent="0.25"/>
  </sheetData>
  <mergeCells count="7">
    <mergeCell ref="B2:K2"/>
    <mergeCell ref="B3:K3"/>
    <mergeCell ref="G4:J4"/>
    <mergeCell ref="E4:E5"/>
    <mergeCell ref="B4:D4"/>
    <mergeCell ref="F4:F5"/>
    <mergeCell ref="K4:K5"/>
  </mergeCells>
  <printOptions horizontalCentered="1"/>
  <pageMargins left="0.59055118110236227" right="0.39370078740157483" top="0.59055118110236227" bottom="0.59055118110236227" header="0.19685039370078741" footer="0.19685039370078741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3"/>
  <sheetViews>
    <sheetView view="pageBreakPreview" zoomScaleNormal="160" zoomScaleSheetLayoutView="100" workbookViewId="0">
      <pane ySplit="5" topLeftCell="A6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.7109375" style="30" customWidth="1"/>
    <col min="2" max="2" width="13.85546875" style="30" customWidth="1"/>
    <col min="3" max="3" width="11.7109375" style="30" bestFit="1" customWidth="1"/>
    <col min="4" max="4" width="7.7109375" style="30" bestFit="1" customWidth="1"/>
    <col min="5" max="5" width="19" style="30" bestFit="1" customWidth="1"/>
    <col min="6" max="6" width="7.28515625" style="30" customWidth="1"/>
    <col min="7" max="7" width="11.7109375" style="30" customWidth="1"/>
    <col min="8" max="8" width="13.28515625" style="45" customWidth="1"/>
    <col min="9" max="10" width="11.7109375" style="30" customWidth="1"/>
    <col min="11" max="11" width="12.7109375" style="30" customWidth="1"/>
    <col min="12" max="12" width="31.140625" style="30" customWidth="1"/>
    <col min="13" max="13" width="1.7109375" style="30" customWidth="1"/>
    <col min="14" max="16384" width="9.140625" style="30"/>
  </cols>
  <sheetData>
    <row r="1" spans="2:14" ht="5.0999999999999996" customHeight="1" thickBot="1" x14ac:dyDescent="0.3"/>
    <row r="2" spans="2:14" ht="15" customHeight="1" thickTop="1" x14ac:dyDescent="0.25">
      <c r="B2" s="871" t="s">
        <v>283</v>
      </c>
      <c r="C2" s="872"/>
      <c r="D2" s="872"/>
      <c r="E2" s="872"/>
      <c r="F2" s="872"/>
      <c r="G2" s="872"/>
      <c r="H2" s="872"/>
      <c r="I2" s="872"/>
      <c r="J2" s="872"/>
      <c r="K2" s="872"/>
      <c r="L2" s="873"/>
    </row>
    <row r="3" spans="2:14" ht="15" customHeight="1" x14ac:dyDescent="0.25">
      <c r="B3" s="874" t="str">
        <f>Dados!B1&amp;" - "&amp;Dados!B2&amp;" - "&amp;Dados!B3</f>
        <v>BR-285/RS - km 446,200 ao km 448,600 - LD</v>
      </c>
      <c r="C3" s="875"/>
      <c r="D3" s="875"/>
      <c r="E3" s="875"/>
      <c r="F3" s="875"/>
      <c r="G3" s="875"/>
      <c r="H3" s="875"/>
      <c r="I3" s="875"/>
      <c r="J3" s="875"/>
      <c r="K3" s="875"/>
      <c r="L3" s="876"/>
    </row>
    <row r="4" spans="2:14" ht="15" customHeight="1" x14ac:dyDescent="0.25">
      <c r="B4" s="865" t="s">
        <v>253</v>
      </c>
      <c r="C4" s="856" t="s">
        <v>254</v>
      </c>
      <c r="D4" s="855" t="s">
        <v>74</v>
      </c>
      <c r="E4" s="826" t="s">
        <v>233</v>
      </c>
      <c r="F4" s="826"/>
      <c r="G4" s="868" t="s">
        <v>255</v>
      </c>
      <c r="H4" s="857" t="s">
        <v>209</v>
      </c>
      <c r="I4" s="833" t="s">
        <v>256</v>
      </c>
      <c r="J4" s="835"/>
      <c r="K4" s="855" t="s">
        <v>257</v>
      </c>
      <c r="L4" s="859" t="s">
        <v>258</v>
      </c>
    </row>
    <row r="5" spans="2:14" ht="15.75" thickBot="1" x14ac:dyDescent="0.3">
      <c r="B5" s="866"/>
      <c r="C5" s="867"/>
      <c r="D5" s="868"/>
      <c r="E5" s="43" t="s">
        <v>259</v>
      </c>
      <c r="F5" s="43" t="s">
        <v>260</v>
      </c>
      <c r="G5" s="869"/>
      <c r="H5" s="858"/>
      <c r="I5" s="43" t="s">
        <v>261</v>
      </c>
      <c r="J5" s="43" t="s">
        <v>262</v>
      </c>
      <c r="K5" s="856"/>
      <c r="L5" s="860"/>
    </row>
    <row r="6" spans="2:14" ht="16.5" thickTop="1" thickBot="1" x14ac:dyDescent="0.3">
      <c r="B6" s="663" t="s">
        <v>263</v>
      </c>
      <c r="C6" s="664"/>
      <c r="D6" s="665"/>
      <c r="E6" s="664"/>
      <c r="F6" s="664"/>
      <c r="G6" s="664"/>
      <c r="H6" s="666"/>
      <c r="I6" s="664"/>
      <c r="J6" s="664"/>
      <c r="K6" s="667"/>
      <c r="L6" s="668"/>
    </row>
    <row r="7" spans="2:14" ht="15.75" thickTop="1" x14ac:dyDescent="0.25">
      <c r="B7" s="846"/>
      <c r="C7" s="648" t="s">
        <v>264</v>
      </c>
      <c r="D7" s="861" t="s">
        <v>265</v>
      </c>
      <c r="E7" s="649" t="s">
        <v>613</v>
      </c>
      <c r="F7" s="650" t="s">
        <v>612</v>
      </c>
      <c r="G7" s="864">
        <v>10</v>
      </c>
      <c r="H7" s="651">
        <f>0.828</f>
        <v>0.82799999999999996</v>
      </c>
      <c r="I7" s="840">
        <v>10</v>
      </c>
      <c r="J7" s="840">
        <v>0</v>
      </c>
      <c r="K7" s="840">
        <v>1</v>
      </c>
      <c r="L7" s="843" t="s">
        <v>266</v>
      </c>
    </row>
    <row r="8" spans="2:14" x14ac:dyDescent="0.25">
      <c r="B8" s="847"/>
      <c r="C8" s="5" t="s">
        <v>264</v>
      </c>
      <c r="D8" s="862"/>
      <c r="E8" s="44" t="s">
        <v>613</v>
      </c>
      <c r="F8" s="35" t="s">
        <v>612</v>
      </c>
      <c r="G8" s="841"/>
      <c r="H8" s="33">
        <v>0.82799999999999996</v>
      </c>
      <c r="I8" s="841"/>
      <c r="J8" s="841"/>
      <c r="K8" s="841"/>
      <c r="L8" s="844"/>
    </row>
    <row r="9" spans="2:14" x14ac:dyDescent="0.25">
      <c r="B9" s="847"/>
      <c r="C9" s="5" t="s">
        <v>264</v>
      </c>
      <c r="D9" s="862"/>
      <c r="E9" s="44" t="s">
        <v>613</v>
      </c>
      <c r="F9" s="35" t="s">
        <v>612</v>
      </c>
      <c r="G9" s="841"/>
      <c r="H9" s="33">
        <v>0.82799999999999996</v>
      </c>
      <c r="I9" s="841"/>
      <c r="J9" s="841"/>
      <c r="K9" s="841"/>
      <c r="L9" s="844"/>
    </row>
    <row r="10" spans="2:14" x14ac:dyDescent="0.25">
      <c r="B10" s="847"/>
      <c r="C10" s="5" t="s">
        <v>264</v>
      </c>
      <c r="D10" s="862"/>
      <c r="E10" s="44" t="s">
        <v>614</v>
      </c>
      <c r="F10" s="35" t="s">
        <v>230</v>
      </c>
      <c r="G10" s="841"/>
      <c r="H10" s="33">
        <v>0.82799999999999996</v>
      </c>
      <c r="I10" s="841"/>
      <c r="J10" s="841"/>
      <c r="K10" s="841"/>
      <c r="L10" s="844"/>
    </row>
    <row r="11" spans="2:14" x14ac:dyDescent="0.25">
      <c r="B11" s="847"/>
      <c r="C11" s="5" t="s">
        <v>264</v>
      </c>
      <c r="D11" s="862"/>
      <c r="E11" s="44" t="s">
        <v>615</v>
      </c>
      <c r="F11" s="35" t="s">
        <v>230</v>
      </c>
      <c r="G11" s="841"/>
      <c r="H11" s="33">
        <v>0.82799999999999996</v>
      </c>
      <c r="I11" s="841"/>
      <c r="J11" s="841"/>
      <c r="K11" s="841"/>
      <c r="L11" s="844"/>
    </row>
    <row r="12" spans="2:14" x14ac:dyDescent="0.25">
      <c r="B12" s="847"/>
      <c r="C12" s="5" t="s">
        <v>264</v>
      </c>
      <c r="D12" s="862"/>
      <c r="E12" s="44" t="s">
        <v>616</v>
      </c>
      <c r="F12" s="35" t="s">
        <v>230</v>
      </c>
      <c r="G12" s="841"/>
      <c r="H12" s="33">
        <v>0.82799999999999996</v>
      </c>
      <c r="I12" s="841"/>
      <c r="J12" s="841"/>
      <c r="K12" s="841"/>
      <c r="L12" s="844"/>
    </row>
    <row r="13" spans="2:14" x14ac:dyDescent="0.25">
      <c r="B13" s="847"/>
      <c r="C13" s="5" t="s">
        <v>264</v>
      </c>
      <c r="D13" s="862"/>
      <c r="E13" s="44" t="s">
        <v>617</v>
      </c>
      <c r="F13" s="35" t="s">
        <v>612</v>
      </c>
      <c r="G13" s="841"/>
      <c r="H13" s="33">
        <f>0.828</f>
        <v>0.82799999999999996</v>
      </c>
      <c r="I13" s="841"/>
      <c r="J13" s="841"/>
      <c r="K13" s="841"/>
      <c r="L13" s="844"/>
    </row>
    <row r="14" spans="2:14" x14ac:dyDescent="0.25">
      <c r="B14" s="847"/>
      <c r="C14" s="5" t="s">
        <v>264</v>
      </c>
      <c r="D14" s="862"/>
      <c r="E14" s="44" t="s">
        <v>617</v>
      </c>
      <c r="F14" s="35" t="s">
        <v>612</v>
      </c>
      <c r="G14" s="841"/>
      <c r="H14" s="33">
        <v>0.82799999999999996</v>
      </c>
      <c r="I14" s="841"/>
      <c r="J14" s="841"/>
      <c r="K14" s="841"/>
      <c r="L14" s="844"/>
      <c r="N14"/>
    </row>
    <row r="15" spans="2:14" x14ac:dyDescent="0.25">
      <c r="B15" s="847"/>
      <c r="C15" s="5" t="s">
        <v>264</v>
      </c>
      <c r="D15" s="862"/>
      <c r="E15" s="44" t="s">
        <v>617</v>
      </c>
      <c r="F15" s="35" t="s">
        <v>612</v>
      </c>
      <c r="G15" s="841"/>
      <c r="H15" s="33">
        <v>0.82799999999999996</v>
      </c>
      <c r="I15" s="841"/>
      <c r="J15" s="841"/>
      <c r="K15" s="841"/>
      <c r="L15" s="844"/>
    </row>
    <row r="16" spans="2:14" ht="15.75" thickBot="1" x14ac:dyDescent="0.3">
      <c r="B16" s="848"/>
      <c r="C16" s="652" t="s">
        <v>264</v>
      </c>
      <c r="D16" s="863"/>
      <c r="E16" s="653" t="s">
        <v>617</v>
      </c>
      <c r="F16" s="654" t="s">
        <v>612</v>
      </c>
      <c r="G16" s="842"/>
      <c r="H16" s="656">
        <v>0.82799999999999996</v>
      </c>
      <c r="I16" s="842"/>
      <c r="J16" s="842"/>
      <c r="K16" s="842"/>
      <c r="L16" s="845"/>
    </row>
    <row r="17" spans="2:15" ht="15.75" thickTop="1" x14ac:dyDescent="0.25">
      <c r="B17" s="846"/>
      <c r="C17" s="648" t="s">
        <v>267</v>
      </c>
      <c r="D17" s="849" t="s">
        <v>302</v>
      </c>
      <c r="E17" s="649" t="s">
        <v>613</v>
      </c>
      <c r="F17" s="650" t="s">
        <v>612</v>
      </c>
      <c r="G17" s="840">
        <v>2</v>
      </c>
      <c r="H17" s="651">
        <v>0.78500000000000003</v>
      </c>
      <c r="I17" s="840">
        <v>2</v>
      </c>
      <c r="J17" s="840">
        <v>0</v>
      </c>
      <c r="K17" s="840">
        <v>2</v>
      </c>
      <c r="L17" s="843" t="s">
        <v>268</v>
      </c>
      <c r="O17"/>
    </row>
    <row r="18" spans="2:15" x14ac:dyDescent="0.25">
      <c r="B18" s="847"/>
      <c r="C18" s="5" t="s">
        <v>267</v>
      </c>
      <c r="D18" s="850"/>
      <c r="E18" s="44" t="s">
        <v>613</v>
      </c>
      <c r="F18" s="35" t="s">
        <v>612</v>
      </c>
      <c r="G18" s="841"/>
      <c r="H18" s="33">
        <v>0.78500000000000003</v>
      </c>
      <c r="I18" s="841"/>
      <c r="J18" s="841"/>
      <c r="K18" s="841"/>
      <c r="L18" s="844"/>
    </row>
    <row r="19" spans="2:15" ht="15.75" thickBot="1" x14ac:dyDescent="0.3">
      <c r="B19" s="848"/>
      <c r="C19" s="652"/>
      <c r="D19" s="851"/>
      <c r="E19" s="653"/>
      <c r="F19" s="654"/>
      <c r="G19" s="842"/>
      <c r="H19" s="656"/>
      <c r="I19" s="842"/>
      <c r="J19" s="842"/>
      <c r="K19" s="842"/>
      <c r="L19" s="845"/>
    </row>
    <row r="20" spans="2:15" ht="15.75" thickTop="1" x14ac:dyDescent="0.25">
      <c r="B20" s="846"/>
      <c r="C20" s="648" t="s">
        <v>267</v>
      </c>
      <c r="D20" s="849" t="s">
        <v>618</v>
      </c>
      <c r="E20" s="649" t="s">
        <v>613</v>
      </c>
      <c r="F20" s="650" t="s">
        <v>612</v>
      </c>
      <c r="G20" s="840">
        <v>2</v>
      </c>
      <c r="H20" s="651">
        <v>0.78500000000000003</v>
      </c>
      <c r="I20" s="840">
        <v>2</v>
      </c>
      <c r="J20" s="840">
        <v>0</v>
      </c>
      <c r="K20" s="840">
        <v>2</v>
      </c>
      <c r="L20" s="843" t="s">
        <v>268</v>
      </c>
    </row>
    <row r="21" spans="2:15" x14ac:dyDescent="0.25">
      <c r="B21" s="847"/>
      <c r="C21" s="5" t="s">
        <v>267</v>
      </c>
      <c r="D21" s="850"/>
      <c r="E21" s="44" t="s">
        <v>613</v>
      </c>
      <c r="F21" s="35" t="s">
        <v>612</v>
      </c>
      <c r="G21" s="841"/>
      <c r="H21" s="33">
        <v>0.78500000000000003</v>
      </c>
      <c r="I21" s="841"/>
      <c r="J21" s="841"/>
      <c r="K21" s="841"/>
      <c r="L21" s="844"/>
      <c r="O21"/>
    </row>
    <row r="22" spans="2:15" ht="15.75" thickBot="1" x14ac:dyDescent="0.3">
      <c r="B22" s="848"/>
      <c r="C22" s="652"/>
      <c r="D22" s="851"/>
      <c r="E22" s="653"/>
      <c r="F22" s="654"/>
      <c r="G22" s="842"/>
      <c r="H22" s="656"/>
      <c r="I22" s="842"/>
      <c r="J22" s="842"/>
      <c r="K22" s="842"/>
      <c r="L22" s="845"/>
      <c r="O22"/>
    </row>
    <row r="23" spans="2:15" ht="15" customHeight="1" thickTop="1" x14ac:dyDescent="0.25">
      <c r="B23" s="846"/>
      <c r="C23" s="648" t="s">
        <v>267</v>
      </c>
      <c r="D23" s="849" t="s">
        <v>624</v>
      </c>
      <c r="E23" s="649" t="s">
        <v>617</v>
      </c>
      <c r="F23" s="650" t="s">
        <v>612</v>
      </c>
      <c r="G23" s="840">
        <v>2</v>
      </c>
      <c r="H23" s="651">
        <v>0.78500000000000003</v>
      </c>
      <c r="I23" s="840">
        <v>2</v>
      </c>
      <c r="J23" s="840">
        <v>0</v>
      </c>
      <c r="K23" s="840">
        <v>2</v>
      </c>
      <c r="L23" s="843" t="s">
        <v>268</v>
      </c>
    </row>
    <row r="24" spans="2:15" x14ac:dyDescent="0.25">
      <c r="B24" s="847"/>
      <c r="C24" s="5" t="s">
        <v>267</v>
      </c>
      <c r="D24" s="850"/>
      <c r="E24" s="44" t="s">
        <v>617</v>
      </c>
      <c r="F24" s="35" t="s">
        <v>612</v>
      </c>
      <c r="G24" s="841"/>
      <c r="H24" s="33">
        <v>0.78500000000000003</v>
      </c>
      <c r="I24" s="841"/>
      <c r="J24" s="841"/>
      <c r="K24" s="841"/>
      <c r="L24" s="844"/>
    </row>
    <row r="25" spans="2:15" ht="15.75" thickBot="1" x14ac:dyDescent="0.3">
      <c r="B25" s="848"/>
      <c r="C25" s="652"/>
      <c r="D25" s="851"/>
      <c r="E25" s="653"/>
      <c r="F25" s="654"/>
      <c r="G25" s="842"/>
      <c r="H25" s="656"/>
      <c r="I25" s="842"/>
      <c r="J25" s="842"/>
      <c r="K25" s="842"/>
      <c r="L25" s="845"/>
    </row>
    <row r="26" spans="2:15" ht="16.5" thickTop="1" thickBot="1" x14ac:dyDescent="0.3">
      <c r="B26" s="676"/>
      <c r="C26" s="671" t="s">
        <v>281</v>
      </c>
      <c r="D26" s="669"/>
      <c r="E26" s="671"/>
      <c r="F26" s="671"/>
      <c r="G26" s="670">
        <f>SUM(G7:G25)</f>
        <v>16</v>
      </c>
      <c r="H26" s="670">
        <f t="shared" ref="H26:J26" si="0">SUM(H7:H25)</f>
        <v>12.990000000000002</v>
      </c>
      <c r="I26" s="670">
        <f t="shared" si="0"/>
        <v>16</v>
      </c>
      <c r="J26" s="670">
        <f t="shared" si="0"/>
        <v>0</v>
      </c>
      <c r="K26" s="671"/>
      <c r="L26" s="677"/>
    </row>
    <row r="27" spans="2:15" ht="16.5" thickTop="1" thickBot="1" x14ac:dyDescent="0.3">
      <c r="B27" s="663" t="s">
        <v>277</v>
      </c>
      <c r="C27" s="664"/>
      <c r="D27" s="665"/>
      <c r="E27" s="664"/>
      <c r="F27" s="664"/>
      <c r="G27" s="664"/>
      <c r="H27" s="666"/>
      <c r="I27" s="664"/>
      <c r="J27" s="664"/>
      <c r="K27" s="667"/>
      <c r="L27" s="668"/>
    </row>
    <row r="28" spans="2:15" ht="15.75" thickTop="1" x14ac:dyDescent="0.25">
      <c r="B28" s="846"/>
      <c r="C28" s="648" t="s">
        <v>278</v>
      </c>
      <c r="D28" s="849" t="s">
        <v>621</v>
      </c>
      <c r="E28" s="649" t="s">
        <v>613</v>
      </c>
      <c r="F28" s="650" t="s">
        <v>612</v>
      </c>
      <c r="G28" s="840">
        <v>4</v>
      </c>
      <c r="H28" s="852">
        <f>G28*2.5*1.5</f>
        <v>15</v>
      </c>
      <c r="I28" s="840">
        <v>8</v>
      </c>
      <c r="J28" s="840">
        <v>0</v>
      </c>
      <c r="K28" s="840">
        <v>5</v>
      </c>
      <c r="L28" s="843" t="s">
        <v>279</v>
      </c>
    </row>
    <row r="29" spans="2:15" x14ac:dyDescent="0.25">
      <c r="B29" s="870"/>
      <c r="C29" s="6" t="s">
        <v>278</v>
      </c>
      <c r="D29" s="850"/>
      <c r="E29" s="44" t="s">
        <v>613</v>
      </c>
      <c r="F29" s="35" t="s">
        <v>612</v>
      </c>
      <c r="G29" s="841"/>
      <c r="H29" s="853"/>
      <c r="I29" s="841"/>
      <c r="J29" s="841"/>
      <c r="K29" s="841"/>
      <c r="L29" s="877"/>
    </row>
    <row r="30" spans="2:15" x14ac:dyDescent="0.25">
      <c r="B30" s="870"/>
      <c r="C30" s="6" t="s">
        <v>278</v>
      </c>
      <c r="D30" s="850"/>
      <c r="E30" s="44" t="s">
        <v>617</v>
      </c>
      <c r="F30" s="35" t="s">
        <v>612</v>
      </c>
      <c r="G30" s="841"/>
      <c r="H30" s="853"/>
      <c r="I30" s="841"/>
      <c r="J30" s="841"/>
      <c r="K30" s="841"/>
      <c r="L30" s="877"/>
    </row>
    <row r="31" spans="2:15" ht="15.75" thickBot="1" x14ac:dyDescent="0.3">
      <c r="B31" s="848"/>
      <c r="C31" s="655" t="s">
        <v>278</v>
      </c>
      <c r="D31" s="851"/>
      <c r="E31" s="653" t="s">
        <v>617</v>
      </c>
      <c r="F31" s="654" t="s">
        <v>612</v>
      </c>
      <c r="G31" s="842"/>
      <c r="H31" s="854"/>
      <c r="I31" s="842"/>
      <c r="J31" s="842"/>
      <c r="K31" s="842"/>
      <c r="L31" s="845"/>
    </row>
    <row r="32" spans="2:15" ht="15" customHeight="1" thickTop="1" x14ac:dyDescent="0.25">
      <c r="B32" s="846"/>
      <c r="C32" s="648" t="s">
        <v>622</v>
      </c>
      <c r="D32" s="849" t="s">
        <v>623</v>
      </c>
      <c r="E32" s="649" t="s">
        <v>614</v>
      </c>
      <c r="F32" s="650" t="s">
        <v>230</v>
      </c>
      <c r="G32" s="840">
        <v>3</v>
      </c>
      <c r="H32" s="852">
        <f>G32*2*1</f>
        <v>6</v>
      </c>
      <c r="I32" s="840">
        <v>6</v>
      </c>
      <c r="J32" s="840">
        <v>0</v>
      </c>
      <c r="K32" s="840">
        <v>5</v>
      </c>
      <c r="L32" s="843" t="s">
        <v>279</v>
      </c>
    </row>
    <row r="33" spans="2:15" x14ac:dyDescent="0.25">
      <c r="B33" s="847"/>
      <c r="C33" s="6" t="s">
        <v>622</v>
      </c>
      <c r="D33" s="850"/>
      <c r="E33" s="44" t="s">
        <v>615</v>
      </c>
      <c r="F33" s="35" t="s">
        <v>230</v>
      </c>
      <c r="G33" s="841"/>
      <c r="H33" s="853"/>
      <c r="I33" s="841"/>
      <c r="J33" s="841"/>
      <c r="K33" s="841"/>
      <c r="L33" s="844"/>
    </row>
    <row r="34" spans="2:15" ht="15.75" thickBot="1" x14ac:dyDescent="0.3">
      <c r="B34" s="848"/>
      <c r="C34" s="655" t="s">
        <v>622</v>
      </c>
      <c r="D34" s="851"/>
      <c r="E34" s="653" t="s">
        <v>616</v>
      </c>
      <c r="F34" s="654" t="s">
        <v>230</v>
      </c>
      <c r="G34" s="842"/>
      <c r="H34" s="854"/>
      <c r="I34" s="842"/>
      <c r="J34" s="842"/>
      <c r="K34" s="842"/>
      <c r="L34" s="845"/>
    </row>
    <row r="35" spans="2:15" ht="16.5" thickTop="1" thickBot="1" x14ac:dyDescent="0.3">
      <c r="B35" s="676"/>
      <c r="C35" s="671" t="s">
        <v>281</v>
      </c>
      <c r="D35" s="669"/>
      <c r="E35" s="671"/>
      <c r="F35" s="671"/>
      <c r="G35" s="670">
        <f>SUM(G28:G34)</f>
        <v>7</v>
      </c>
      <c r="H35" s="670">
        <f t="shared" ref="H35:J35" si="1">SUM(H28:H34)</f>
        <v>21</v>
      </c>
      <c r="I35" s="670">
        <f t="shared" si="1"/>
        <v>14</v>
      </c>
      <c r="J35" s="670">
        <f t="shared" si="1"/>
        <v>0</v>
      </c>
      <c r="K35" s="671"/>
      <c r="L35" s="677"/>
    </row>
    <row r="36" spans="2:15" ht="16.5" thickTop="1" thickBot="1" x14ac:dyDescent="0.3">
      <c r="B36" s="663" t="s">
        <v>269</v>
      </c>
      <c r="C36" s="664"/>
      <c r="D36" s="665"/>
      <c r="E36" s="664"/>
      <c r="F36" s="664"/>
      <c r="G36" s="664"/>
      <c r="H36" s="666"/>
      <c r="I36" s="664"/>
      <c r="J36" s="664"/>
      <c r="K36" s="667"/>
      <c r="L36" s="668"/>
    </row>
    <row r="37" spans="2:15" ht="15.75" thickTop="1" x14ac:dyDescent="0.25">
      <c r="B37" s="846"/>
      <c r="C37" s="648" t="s">
        <v>270</v>
      </c>
      <c r="D37" s="849" t="s">
        <v>280</v>
      </c>
      <c r="E37" s="649" t="s">
        <v>625</v>
      </c>
      <c r="F37" s="650" t="s">
        <v>230</v>
      </c>
      <c r="G37" s="840">
        <v>2</v>
      </c>
      <c r="H37" s="852">
        <f>2*1</f>
        <v>2</v>
      </c>
      <c r="I37" s="840">
        <v>2</v>
      </c>
      <c r="J37" s="840">
        <v>0</v>
      </c>
      <c r="K37" s="840">
        <v>3</v>
      </c>
      <c r="L37" s="843" t="s">
        <v>271</v>
      </c>
    </row>
    <row r="38" spans="2:15" x14ac:dyDescent="0.25">
      <c r="B38" s="847"/>
      <c r="C38" s="5" t="s">
        <v>270</v>
      </c>
      <c r="D38" s="850"/>
      <c r="E38" s="44" t="s">
        <v>626</v>
      </c>
      <c r="F38" s="35" t="s">
        <v>229</v>
      </c>
      <c r="G38" s="841"/>
      <c r="H38" s="853"/>
      <c r="I38" s="841"/>
      <c r="J38" s="841"/>
      <c r="K38" s="841"/>
      <c r="L38" s="844"/>
    </row>
    <row r="39" spans="2:15" ht="15.75" thickBot="1" x14ac:dyDescent="0.3">
      <c r="B39" s="848"/>
      <c r="C39" s="652"/>
      <c r="D39" s="851"/>
      <c r="E39" s="653"/>
      <c r="F39" s="654"/>
      <c r="G39" s="842"/>
      <c r="H39" s="854"/>
      <c r="I39" s="842"/>
      <c r="J39" s="842"/>
      <c r="K39" s="842"/>
      <c r="L39" s="845"/>
    </row>
    <row r="40" spans="2:15" ht="15.75" thickTop="1" x14ac:dyDescent="0.25">
      <c r="B40" s="846"/>
      <c r="C40" s="648" t="s">
        <v>270</v>
      </c>
      <c r="D40" s="849" t="s">
        <v>619</v>
      </c>
      <c r="E40" s="649" t="s">
        <v>613</v>
      </c>
      <c r="F40" s="650" t="s">
        <v>612</v>
      </c>
      <c r="G40" s="840">
        <v>2</v>
      </c>
      <c r="H40" s="852">
        <f>2*1</f>
        <v>2</v>
      </c>
      <c r="I40" s="840">
        <v>2</v>
      </c>
      <c r="J40" s="840">
        <v>0</v>
      </c>
      <c r="K40" s="840">
        <v>3</v>
      </c>
      <c r="L40" s="843" t="s">
        <v>271</v>
      </c>
    </row>
    <row r="41" spans="2:15" x14ac:dyDescent="0.25">
      <c r="B41" s="847"/>
      <c r="C41" s="5" t="s">
        <v>270</v>
      </c>
      <c r="D41" s="850"/>
      <c r="E41" s="44" t="s">
        <v>613</v>
      </c>
      <c r="F41" s="35" t="s">
        <v>612</v>
      </c>
      <c r="G41" s="841"/>
      <c r="H41" s="853"/>
      <c r="I41" s="841"/>
      <c r="J41" s="841"/>
      <c r="K41" s="841"/>
      <c r="L41" s="844"/>
    </row>
    <row r="42" spans="2:15" ht="15.75" thickBot="1" x14ac:dyDescent="0.3">
      <c r="B42" s="848"/>
      <c r="C42" s="652"/>
      <c r="D42" s="851"/>
      <c r="E42" s="653"/>
      <c r="F42" s="654"/>
      <c r="G42" s="842"/>
      <c r="H42" s="854"/>
      <c r="I42" s="842"/>
      <c r="J42" s="842"/>
      <c r="K42" s="842"/>
      <c r="L42" s="845"/>
    </row>
    <row r="43" spans="2:15" ht="16.5" thickTop="1" thickBot="1" x14ac:dyDescent="0.3">
      <c r="B43" s="676"/>
      <c r="C43" s="671" t="s">
        <v>281</v>
      </c>
      <c r="D43" s="669"/>
      <c r="E43" s="671"/>
      <c r="F43" s="671"/>
      <c r="G43" s="670">
        <f>SUM(G37:G42)</f>
        <v>4</v>
      </c>
      <c r="H43" s="670">
        <f>SUM(H37:H42)</f>
        <v>4</v>
      </c>
      <c r="I43" s="670">
        <f>SUM(I37:I42)</f>
        <v>4</v>
      </c>
      <c r="J43" s="670">
        <f>SUM(J37:J42)</f>
        <v>0</v>
      </c>
      <c r="K43" s="671"/>
      <c r="L43" s="677"/>
    </row>
    <row r="44" spans="2:15" ht="16.5" thickTop="1" thickBot="1" x14ac:dyDescent="0.3">
      <c r="B44" s="678" t="s">
        <v>272</v>
      </c>
      <c r="C44" s="672"/>
      <c r="D44" s="679"/>
      <c r="E44" s="672"/>
      <c r="F44" s="672"/>
      <c r="G44" s="672"/>
      <c r="H44" s="673"/>
      <c r="I44" s="672"/>
      <c r="J44" s="672"/>
      <c r="K44" s="674"/>
      <c r="L44" s="675"/>
    </row>
    <row r="45" spans="2:15" ht="15" customHeight="1" thickTop="1" x14ac:dyDescent="0.25">
      <c r="B45" s="846"/>
      <c r="C45" s="648" t="s">
        <v>273</v>
      </c>
      <c r="D45" s="849" t="s">
        <v>274</v>
      </c>
      <c r="E45" s="649" t="s">
        <v>613</v>
      </c>
      <c r="F45" s="650" t="s">
        <v>612</v>
      </c>
      <c r="G45" s="840">
        <v>3</v>
      </c>
      <c r="H45" s="852">
        <f>G45*0.3*0.9</f>
        <v>0.80999999999999994</v>
      </c>
      <c r="I45" s="840">
        <v>3</v>
      </c>
      <c r="J45" s="840">
        <v>0</v>
      </c>
      <c r="K45" s="840">
        <v>3</v>
      </c>
      <c r="L45" s="843" t="s">
        <v>275</v>
      </c>
    </row>
    <row r="46" spans="2:15" x14ac:dyDescent="0.25">
      <c r="B46" s="847"/>
      <c r="C46" s="5" t="s">
        <v>273</v>
      </c>
      <c r="D46" s="850"/>
      <c r="E46" s="44" t="s">
        <v>617</v>
      </c>
      <c r="F46" s="35" t="s">
        <v>612</v>
      </c>
      <c r="G46" s="841"/>
      <c r="H46" s="853"/>
      <c r="I46" s="841"/>
      <c r="J46" s="841"/>
      <c r="K46" s="841"/>
      <c r="L46" s="844"/>
    </row>
    <row r="47" spans="2:15" ht="15.75" thickBot="1" x14ac:dyDescent="0.3">
      <c r="B47" s="848"/>
      <c r="C47" s="652" t="s">
        <v>273</v>
      </c>
      <c r="D47" s="851"/>
      <c r="E47" s="653" t="s">
        <v>617</v>
      </c>
      <c r="F47" s="654" t="s">
        <v>612</v>
      </c>
      <c r="G47" s="842"/>
      <c r="H47" s="854"/>
      <c r="I47" s="842"/>
      <c r="J47" s="842"/>
      <c r="K47" s="842"/>
      <c r="L47" s="845"/>
      <c r="O47"/>
    </row>
    <row r="48" spans="2:15" ht="15" customHeight="1" thickTop="1" x14ac:dyDescent="0.25">
      <c r="B48" s="846"/>
      <c r="C48" s="648" t="s">
        <v>273</v>
      </c>
      <c r="D48" s="849" t="s">
        <v>620</v>
      </c>
      <c r="E48" s="649" t="s">
        <v>613</v>
      </c>
      <c r="F48" s="650" t="s">
        <v>612</v>
      </c>
      <c r="G48" s="840">
        <v>2</v>
      </c>
      <c r="H48" s="852">
        <f>G48*0.3*0.9</f>
        <v>0.54</v>
      </c>
      <c r="I48" s="840">
        <v>2</v>
      </c>
      <c r="J48" s="840">
        <v>0</v>
      </c>
      <c r="K48" s="840">
        <v>3</v>
      </c>
      <c r="L48" s="843" t="s">
        <v>275</v>
      </c>
    </row>
    <row r="49" spans="2:12" x14ac:dyDescent="0.25">
      <c r="B49" s="847"/>
      <c r="C49" s="5" t="s">
        <v>273</v>
      </c>
      <c r="D49" s="850"/>
      <c r="E49" s="44" t="s">
        <v>617</v>
      </c>
      <c r="F49" s="35" t="s">
        <v>612</v>
      </c>
      <c r="G49" s="841"/>
      <c r="H49" s="853"/>
      <c r="I49" s="841"/>
      <c r="J49" s="841"/>
      <c r="K49" s="841"/>
      <c r="L49" s="844"/>
    </row>
    <row r="50" spans="2:12" ht="15.75" thickBot="1" x14ac:dyDescent="0.3">
      <c r="B50" s="848"/>
      <c r="C50" s="652"/>
      <c r="D50" s="851"/>
      <c r="E50" s="653"/>
      <c r="F50" s="654"/>
      <c r="G50" s="842"/>
      <c r="H50" s="854"/>
      <c r="I50" s="842"/>
      <c r="J50" s="842"/>
      <c r="K50" s="842"/>
      <c r="L50" s="845"/>
    </row>
    <row r="51" spans="2:12" ht="15.75" thickTop="1" x14ac:dyDescent="0.25">
      <c r="B51" s="680"/>
      <c r="C51" s="681" t="s">
        <v>281</v>
      </c>
      <c r="D51" s="682"/>
      <c r="E51" s="681"/>
      <c r="F51" s="681"/>
      <c r="G51" s="683">
        <f>SUM(G45:G50)</f>
        <v>5</v>
      </c>
      <c r="H51" s="683">
        <f t="shared" ref="H51:J51" si="2">SUM(H45:H50)</f>
        <v>1.35</v>
      </c>
      <c r="I51" s="683">
        <f t="shared" si="2"/>
        <v>5</v>
      </c>
      <c r="J51" s="683">
        <f t="shared" si="2"/>
        <v>0</v>
      </c>
      <c r="K51" s="681"/>
      <c r="L51" s="684"/>
    </row>
    <row r="52" spans="2:12" ht="15.75" thickBot="1" x14ac:dyDescent="0.3">
      <c r="B52" s="657"/>
      <c r="C52" s="658" t="s">
        <v>276</v>
      </c>
      <c r="D52" s="659"/>
      <c r="E52" s="658"/>
      <c r="F52" s="658"/>
      <c r="G52" s="660">
        <f>SUM(G7:G51)/2</f>
        <v>32</v>
      </c>
      <c r="H52" s="660">
        <f t="shared" ref="H52:J52" si="3">SUM(H7:H51)/2</f>
        <v>39.340000000000003</v>
      </c>
      <c r="I52" s="660">
        <f t="shared" si="3"/>
        <v>39</v>
      </c>
      <c r="J52" s="660">
        <f t="shared" si="3"/>
        <v>0</v>
      </c>
      <c r="K52" s="661"/>
      <c r="L52" s="662"/>
    </row>
    <row r="53" spans="2:12" ht="15.75" thickTop="1" x14ac:dyDescent="0.25"/>
  </sheetData>
  <mergeCells count="87">
    <mergeCell ref="L32:L34"/>
    <mergeCell ref="L23:L25"/>
    <mergeCell ref="H32:H34"/>
    <mergeCell ref="I32:I34"/>
    <mergeCell ref="J32:J34"/>
    <mergeCell ref="I23:I25"/>
    <mergeCell ref="J23:J25"/>
    <mergeCell ref="K32:K34"/>
    <mergeCell ref="K23:K25"/>
    <mergeCell ref="I37:I39"/>
    <mergeCell ref="J37:J39"/>
    <mergeCell ref="B2:L2"/>
    <mergeCell ref="B3:L3"/>
    <mergeCell ref="K37:K39"/>
    <mergeCell ref="L37:L39"/>
    <mergeCell ref="B23:B25"/>
    <mergeCell ref="D23:D25"/>
    <mergeCell ref="G28:G31"/>
    <mergeCell ref="H28:H31"/>
    <mergeCell ref="I28:I31"/>
    <mergeCell ref="J28:J31"/>
    <mergeCell ref="K28:K31"/>
    <mergeCell ref="L28:L31"/>
    <mergeCell ref="B32:B34"/>
    <mergeCell ref="D32:D34"/>
    <mergeCell ref="B28:B31"/>
    <mergeCell ref="H45:H47"/>
    <mergeCell ref="B37:B39"/>
    <mergeCell ref="D37:D39"/>
    <mergeCell ref="G37:G39"/>
    <mergeCell ref="H37:H39"/>
    <mergeCell ref="D28:D31"/>
    <mergeCell ref="G32:G34"/>
    <mergeCell ref="L45:L47"/>
    <mergeCell ref="B45:B47"/>
    <mergeCell ref="D45:D47"/>
    <mergeCell ref="G45:G47"/>
    <mergeCell ref="I45:I47"/>
    <mergeCell ref="J45:J47"/>
    <mergeCell ref="K45:K47"/>
    <mergeCell ref="L7:L16"/>
    <mergeCell ref="B4:B5"/>
    <mergeCell ref="C4:C5"/>
    <mergeCell ref="D4:D5"/>
    <mergeCell ref="E4:F4"/>
    <mergeCell ref="G4:G5"/>
    <mergeCell ref="I4:J4"/>
    <mergeCell ref="L17:L19"/>
    <mergeCell ref="K4:K5"/>
    <mergeCell ref="B17:B19"/>
    <mergeCell ref="D17:D19"/>
    <mergeCell ref="G17:G19"/>
    <mergeCell ref="I17:I19"/>
    <mergeCell ref="J17:J19"/>
    <mergeCell ref="K17:K19"/>
    <mergeCell ref="H4:H5"/>
    <mergeCell ref="L4:L5"/>
    <mergeCell ref="B7:B16"/>
    <mergeCell ref="D7:D16"/>
    <mergeCell ref="G7:G16"/>
    <mergeCell ref="I7:I16"/>
    <mergeCell ref="J7:J16"/>
    <mergeCell ref="K7:K16"/>
    <mergeCell ref="K20:K22"/>
    <mergeCell ref="L20:L22"/>
    <mergeCell ref="B40:B42"/>
    <mergeCell ref="D40:D42"/>
    <mergeCell ref="G40:G42"/>
    <mergeCell ref="H40:H42"/>
    <mergeCell ref="I40:I42"/>
    <mergeCell ref="J40:J42"/>
    <mergeCell ref="K40:K42"/>
    <mergeCell ref="L40:L42"/>
    <mergeCell ref="B20:B22"/>
    <mergeCell ref="D20:D22"/>
    <mergeCell ref="G20:G22"/>
    <mergeCell ref="I20:I22"/>
    <mergeCell ref="J20:J22"/>
    <mergeCell ref="G23:G25"/>
    <mergeCell ref="J48:J50"/>
    <mergeCell ref="K48:K50"/>
    <mergeCell ref="L48:L50"/>
    <mergeCell ref="B48:B50"/>
    <mergeCell ref="D48:D50"/>
    <mergeCell ref="G48:G50"/>
    <mergeCell ref="H48:H50"/>
    <mergeCell ref="I48:I50"/>
  </mergeCells>
  <phoneticPr fontId="17" type="noConversion"/>
  <printOptions horizontalCentered="1"/>
  <pageMargins left="0.59055118110236227" right="0.39370078740157483" top="0.59055118110236227" bottom="0.59055118110236227" header="0.19685039370078741" footer="0.19685039370078741"/>
  <pageSetup paperSize="9" scale="87" fitToHeight="0" orientation="landscape" r:id="rId1"/>
  <rowBreaks count="1" manualBreakCount="1">
    <brk id="35" max="12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view="pageBreakPreview" zoomScaleNormal="100" zoomScaleSheetLayoutView="100" workbookViewId="0">
      <pane ySplit="5" topLeftCell="A6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.7109375" style="30" customWidth="1"/>
    <col min="2" max="2" width="50" style="30" bestFit="1" customWidth="1"/>
    <col min="3" max="3" width="13" style="30" bestFit="1" customWidth="1"/>
    <col min="4" max="4" width="25.85546875" style="30" bestFit="1" customWidth="1"/>
    <col min="5" max="6" width="8" style="30" bestFit="1" customWidth="1"/>
    <col min="7" max="7" width="9.5703125" style="30" bestFit="1" customWidth="1"/>
    <col min="8" max="8" width="7.42578125" style="30" customWidth="1"/>
    <col min="9" max="9" width="12.140625" style="30" bestFit="1" customWidth="1"/>
    <col min="10" max="10" width="1.7109375" style="30" customWidth="1"/>
    <col min="11" max="11" width="12.28515625" style="30" customWidth="1"/>
    <col min="12" max="16384" width="9.140625" style="30"/>
  </cols>
  <sheetData>
    <row r="1" spans="2:9" ht="5.0999999999999996" customHeight="1" x14ac:dyDescent="0.25"/>
    <row r="2" spans="2:9" x14ac:dyDescent="0.25">
      <c r="B2" s="826" t="s">
        <v>284</v>
      </c>
      <c r="C2" s="826"/>
      <c r="D2" s="826"/>
      <c r="E2" s="826"/>
      <c r="F2" s="826"/>
      <c r="G2" s="826"/>
      <c r="H2" s="826"/>
      <c r="I2" s="826"/>
    </row>
    <row r="3" spans="2:9" x14ac:dyDescent="0.25">
      <c r="B3" s="826" t="str">
        <f>Dados!B1&amp;" - "&amp;Dados!B2&amp;" - "&amp;Dados!B3</f>
        <v>BR-285/RS - km 446,200 ao km 448,600 - LD</v>
      </c>
      <c r="C3" s="826"/>
      <c r="D3" s="826"/>
      <c r="E3" s="826"/>
      <c r="F3" s="826"/>
      <c r="G3" s="826"/>
      <c r="H3" s="826"/>
      <c r="I3" s="826"/>
    </row>
    <row r="4" spans="2:9" ht="15" customHeight="1" x14ac:dyDescent="0.25">
      <c r="B4" s="881" t="s">
        <v>287</v>
      </c>
      <c r="C4" s="881" t="s">
        <v>288</v>
      </c>
      <c r="D4" s="837" t="s">
        <v>233</v>
      </c>
      <c r="E4" s="837"/>
      <c r="F4" s="837"/>
      <c r="G4" s="836" t="s">
        <v>286</v>
      </c>
      <c r="H4" s="881" t="s">
        <v>221</v>
      </c>
      <c r="I4" s="838" t="s">
        <v>285</v>
      </c>
    </row>
    <row r="5" spans="2:9" x14ac:dyDescent="0.25">
      <c r="B5" s="839"/>
      <c r="C5" s="839"/>
      <c r="D5" s="39" t="s">
        <v>293</v>
      </c>
      <c r="E5" s="39" t="s">
        <v>250</v>
      </c>
      <c r="F5" s="39" t="s">
        <v>251</v>
      </c>
      <c r="G5" s="837"/>
      <c r="H5" s="839"/>
      <c r="I5" s="839"/>
    </row>
    <row r="6" spans="2:9" x14ac:dyDescent="0.25">
      <c r="B6" s="878" t="s">
        <v>395</v>
      </c>
      <c r="C6" s="879"/>
      <c r="D6" s="879"/>
      <c r="E6" s="879"/>
      <c r="F6" s="879"/>
      <c r="G6" s="879"/>
      <c r="H6" s="879"/>
      <c r="I6" s="880"/>
    </row>
    <row r="7" spans="2:9" x14ac:dyDescent="0.25">
      <c r="B7" s="38" t="s">
        <v>289</v>
      </c>
      <c r="C7" s="5" t="s">
        <v>290</v>
      </c>
      <c r="D7" s="5" t="s">
        <v>609</v>
      </c>
      <c r="E7" s="34">
        <v>446300</v>
      </c>
      <c r="F7" s="34"/>
      <c r="G7" s="33">
        <v>60</v>
      </c>
      <c r="H7" s="33">
        <v>0.25</v>
      </c>
      <c r="I7" s="48">
        <f>G7*H7</f>
        <v>15</v>
      </c>
    </row>
    <row r="8" spans="2:9" x14ac:dyDescent="0.25">
      <c r="B8" s="38" t="s">
        <v>289</v>
      </c>
      <c r="C8" s="5" t="s">
        <v>290</v>
      </c>
      <c r="D8" s="5" t="s">
        <v>609</v>
      </c>
      <c r="E8" s="34">
        <v>446300</v>
      </c>
      <c r="F8" s="34"/>
      <c r="G8" s="33">
        <v>116</v>
      </c>
      <c r="H8" s="33">
        <v>0.25</v>
      </c>
      <c r="I8" s="48">
        <f>G8*H8</f>
        <v>29</v>
      </c>
    </row>
    <row r="9" spans="2:9" x14ac:dyDescent="0.25">
      <c r="B9" s="38" t="s">
        <v>289</v>
      </c>
      <c r="C9" s="5" t="s">
        <v>292</v>
      </c>
      <c r="D9" s="5" t="s">
        <v>294</v>
      </c>
      <c r="E9" s="34">
        <v>448600</v>
      </c>
      <c r="F9" s="34"/>
      <c r="G9" s="33">
        <v>216</v>
      </c>
      <c r="H9" s="33">
        <f>1/8</f>
        <v>0.125</v>
      </c>
      <c r="I9" s="48">
        <f>G9*H9</f>
        <v>27</v>
      </c>
    </row>
    <row r="10" spans="2:9" x14ac:dyDescent="0.25">
      <c r="B10" s="38" t="s">
        <v>289</v>
      </c>
      <c r="C10" s="5" t="s">
        <v>290</v>
      </c>
      <c r="D10" s="5" t="s">
        <v>611</v>
      </c>
      <c r="E10" s="34">
        <v>448600</v>
      </c>
      <c r="F10" s="34"/>
      <c r="G10" s="33">
        <f>138*8</f>
        <v>1104</v>
      </c>
      <c r="H10" s="33">
        <f>1/8</f>
        <v>0.125</v>
      </c>
      <c r="I10" s="48">
        <f>G10*H10</f>
        <v>138</v>
      </c>
    </row>
    <row r="11" spans="2:9" x14ac:dyDescent="0.25">
      <c r="B11" s="46"/>
      <c r="C11" s="47"/>
      <c r="D11" s="47"/>
      <c r="E11" s="47"/>
      <c r="F11" s="47"/>
      <c r="G11" s="47"/>
      <c r="H11" s="40" t="s">
        <v>295</v>
      </c>
      <c r="I11" s="49">
        <f>SUM(I7:I10)</f>
        <v>209</v>
      </c>
    </row>
    <row r="13" spans="2:9" x14ac:dyDescent="0.25">
      <c r="B13" s="38" t="s">
        <v>291</v>
      </c>
      <c r="C13" s="5" t="s">
        <v>290</v>
      </c>
      <c r="D13" s="5" t="s">
        <v>610</v>
      </c>
      <c r="E13" s="34">
        <v>448600</v>
      </c>
      <c r="F13" s="34"/>
      <c r="G13" s="33">
        <v>0</v>
      </c>
      <c r="H13" s="33">
        <f>1/8</f>
        <v>0.125</v>
      </c>
      <c r="I13" s="48">
        <f>G13*H13</f>
        <v>0</v>
      </c>
    </row>
    <row r="14" spans="2:9" x14ac:dyDescent="0.25">
      <c r="B14" s="46"/>
      <c r="C14" s="47"/>
      <c r="D14" s="47"/>
      <c r="E14" s="47"/>
      <c r="F14" s="47"/>
      <c r="G14" s="47"/>
      <c r="H14" s="40" t="s">
        <v>295</v>
      </c>
      <c r="I14" s="49">
        <f>SUM(I13:I13)</f>
        <v>0</v>
      </c>
    </row>
    <row r="15" spans="2:9" x14ac:dyDescent="0.25">
      <c r="B15" s="878" t="s">
        <v>396</v>
      </c>
      <c r="C15" s="879"/>
      <c r="D15" s="879"/>
      <c r="E15" s="879"/>
      <c r="F15" s="879"/>
      <c r="G15" s="879"/>
      <c r="H15" s="879"/>
      <c r="I15" s="880"/>
    </row>
    <row r="16" spans="2:9" x14ac:dyDescent="0.25">
      <c r="B16" s="38" t="s">
        <v>289</v>
      </c>
      <c r="C16" s="5" t="s">
        <v>290</v>
      </c>
      <c r="D16" s="5" t="s">
        <v>609</v>
      </c>
      <c r="E16" s="34">
        <v>446300</v>
      </c>
      <c r="F16" s="34"/>
      <c r="G16" s="33">
        <v>24</v>
      </c>
      <c r="H16" s="33">
        <v>0.5</v>
      </c>
      <c r="I16" s="48">
        <f>G16*H16</f>
        <v>12</v>
      </c>
    </row>
    <row r="17" spans="2:9" x14ac:dyDescent="0.25">
      <c r="B17" s="38" t="s">
        <v>289</v>
      </c>
      <c r="C17" s="5" t="s">
        <v>292</v>
      </c>
      <c r="D17" s="5" t="s">
        <v>294</v>
      </c>
      <c r="E17" s="34">
        <v>448600</v>
      </c>
      <c r="F17" s="34"/>
      <c r="G17" s="33">
        <v>172</v>
      </c>
      <c r="H17" s="33">
        <v>0.25</v>
      </c>
      <c r="I17" s="48">
        <f>G17*H17</f>
        <v>43</v>
      </c>
    </row>
    <row r="18" spans="2:9" x14ac:dyDescent="0.25">
      <c r="B18" s="46"/>
      <c r="C18" s="47"/>
      <c r="D18" s="47"/>
      <c r="E18" s="47"/>
      <c r="F18" s="47"/>
      <c r="G18" s="47"/>
      <c r="H18" s="40" t="s">
        <v>295</v>
      </c>
      <c r="I18" s="49">
        <f>SUM(I16:I17)</f>
        <v>55</v>
      </c>
    </row>
    <row r="19" spans="2:9" x14ac:dyDescent="0.25">
      <c r="B19" s="38" t="s">
        <v>291</v>
      </c>
      <c r="C19" s="5" t="s">
        <v>292</v>
      </c>
      <c r="D19" s="5" t="s">
        <v>609</v>
      </c>
      <c r="E19" s="34">
        <v>446300</v>
      </c>
      <c r="F19" s="34"/>
      <c r="G19" s="33">
        <v>40</v>
      </c>
      <c r="H19" s="33">
        <v>0.5</v>
      </c>
      <c r="I19" s="48">
        <f>G19*H19</f>
        <v>20</v>
      </c>
    </row>
    <row r="20" spans="2:9" x14ac:dyDescent="0.25">
      <c r="B20" s="46"/>
      <c r="C20" s="47"/>
      <c r="D20" s="47"/>
      <c r="E20" s="47"/>
      <c r="F20" s="47"/>
      <c r="G20" s="47"/>
      <c r="H20" s="40" t="s">
        <v>295</v>
      </c>
      <c r="I20" s="49">
        <f>SUM(I19:I19)</f>
        <v>20</v>
      </c>
    </row>
    <row r="21" spans="2:9" ht="5.0999999999999996" customHeight="1" x14ac:dyDescent="0.25"/>
  </sheetData>
  <sortState ref="A12:K13">
    <sortCondition ref="C12:C13"/>
  </sortState>
  <mergeCells count="10">
    <mergeCell ref="B6:I6"/>
    <mergeCell ref="B15:I15"/>
    <mergeCell ref="G4:G5"/>
    <mergeCell ref="D4:F4"/>
    <mergeCell ref="B2:I2"/>
    <mergeCell ref="B3:I3"/>
    <mergeCell ref="B4:B5"/>
    <mergeCell ref="C4:C5"/>
    <mergeCell ref="H4:H5"/>
    <mergeCell ref="I4:I5"/>
  </mergeCells>
  <phoneticPr fontId="17" type="noConversion"/>
  <printOptions horizontalCentered="1"/>
  <pageMargins left="0.59055118110236227" right="0.39370078740157483" top="0.59055118110236227" bottom="0.59055118110236227" header="0.19685039370078741" footer="0.19685039370078741"/>
  <pageSetup paperSize="9" scale="99" fitToHeight="0" orientation="landscape" r:id="rId1"/>
  <ignoredErrors>
    <ignoredError sqref="I1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view="pageBreakPreview" zoomScaleNormal="100" zoomScaleSheetLayoutView="100" workbookViewId="0">
      <pane ySplit="5" topLeftCell="A6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.7109375" style="30" customWidth="1"/>
    <col min="2" max="2" width="34.42578125" style="30" customWidth="1"/>
    <col min="3" max="3" width="35.140625" style="30" customWidth="1"/>
    <col min="4" max="5" width="8.7109375" style="30" customWidth="1"/>
    <col min="6" max="7" width="13.85546875" style="30" customWidth="1"/>
    <col min="8" max="8" width="7.42578125" style="30" customWidth="1"/>
    <col min="9" max="9" width="12.28515625" style="30" customWidth="1"/>
    <col min="10" max="10" width="1.7109375" style="30" customWidth="1"/>
    <col min="11" max="11" width="12.28515625" style="30" customWidth="1"/>
    <col min="12" max="16384" width="9.140625" style="30"/>
  </cols>
  <sheetData>
    <row r="1" spans="2:9" ht="5.0999999999999996" customHeight="1" x14ac:dyDescent="0.25"/>
    <row r="2" spans="2:9" x14ac:dyDescent="0.25">
      <c r="B2" s="826" t="s">
        <v>282</v>
      </c>
      <c r="C2" s="826"/>
      <c r="D2" s="826"/>
      <c r="E2" s="826"/>
      <c r="F2" s="826"/>
      <c r="G2" s="826"/>
      <c r="H2" s="826"/>
      <c r="I2" s="826"/>
    </row>
    <row r="3" spans="2:9" x14ac:dyDescent="0.25">
      <c r="B3" s="826" t="str">
        <f>Dados!B1&amp;" - "&amp;Dados!B2&amp;" - "&amp;Dados!B3</f>
        <v>BR-285/RS - km 446,200 ao km 448,600 - LD</v>
      </c>
      <c r="C3" s="826"/>
      <c r="D3" s="826"/>
      <c r="E3" s="826"/>
      <c r="F3" s="826"/>
      <c r="G3" s="826"/>
      <c r="H3" s="826"/>
      <c r="I3" s="826"/>
    </row>
    <row r="4" spans="2:9" ht="15" customHeight="1" x14ac:dyDescent="0.25">
      <c r="B4" s="881" t="s">
        <v>248</v>
      </c>
      <c r="C4" s="881" t="s">
        <v>249</v>
      </c>
      <c r="D4" s="837" t="s">
        <v>233</v>
      </c>
      <c r="E4" s="837"/>
      <c r="F4" s="885" t="s">
        <v>205</v>
      </c>
      <c r="G4" s="886"/>
      <c r="H4" s="881" t="s">
        <v>221</v>
      </c>
      <c r="I4" s="838" t="s">
        <v>209</v>
      </c>
    </row>
    <row r="5" spans="2:9" x14ac:dyDescent="0.25">
      <c r="B5" s="839"/>
      <c r="C5" s="839"/>
      <c r="D5" s="39" t="s">
        <v>250</v>
      </c>
      <c r="E5" s="39" t="s">
        <v>251</v>
      </c>
      <c r="F5" s="39" t="s">
        <v>220</v>
      </c>
      <c r="G5" s="39" t="s">
        <v>206</v>
      </c>
      <c r="H5" s="839"/>
      <c r="I5" s="839"/>
    </row>
    <row r="6" spans="2:9" x14ac:dyDescent="0.25">
      <c r="B6" s="38" t="s">
        <v>224</v>
      </c>
      <c r="C6" s="5" t="s">
        <v>605</v>
      </c>
      <c r="D6" s="106">
        <v>446300</v>
      </c>
      <c r="E6" s="34"/>
      <c r="F6" s="33">
        <f>53.4+9.2+2.5+10.8+11.5+5.3+8.8+58.2</f>
        <v>159.69999999999999</v>
      </c>
      <c r="G6" s="33">
        <v>0.15</v>
      </c>
      <c r="H6" s="33">
        <v>1</v>
      </c>
      <c r="I6" s="41">
        <f>H6*G6*F6</f>
        <v>23.954999999999998</v>
      </c>
    </row>
    <row r="7" spans="2:9" x14ac:dyDescent="0.25">
      <c r="B7" s="38" t="s">
        <v>222</v>
      </c>
      <c r="C7" s="5" t="s">
        <v>605</v>
      </c>
      <c r="D7" s="106">
        <v>446300</v>
      </c>
      <c r="E7" s="34"/>
      <c r="F7" s="33">
        <f>30.7+30.6+9.5+9.4</f>
        <v>80.2</v>
      </c>
      <c r="G7" s="33">
        <v>0.15</v>
      </c>
      <c r="H7" s="33">
        <v>1</v>
      </c>
      <c r="I7" s="41">
        <f>H7*G7*F7</f>
        <v>12.03</v>
      </c>
    </row>
    <row r="8" spans="2:9" x14ac:dyDescent="0.25">
      <c r="B8" s="38" t="s">
        <v>224</v>
      </c>
      <c r="C8" s="5" t="s">
        <v>605</v>
      </c>
      <c r="D8" s="106">
        <v>448600</v>
      </c>
      <c r="E8" s="34"/>
      <c r="F8" s="33">
        <f>79.1+91.1+94.3+81.4+93.5+106.5+123.3+13.2+52.7</f>
        <v>735.1</v>
      </c>
      <c r="G8" s="33">
        <v>0.15</v>
      </c>
      <c r="H8" s="33">
        <v>1</v>
      </c>
      <c r="I8" s="41">
        <f>H8*G8*F8</f>
        <v>110.265</v>
      </c>
    </row>
    <row r="9" spans="2:9" x14ac:dyDescent="0.25">
      <c r="B9" s="38" t="s">
        <v>224</v>
      </c>
      <c r="C9" s="5" t="s">
        <v>608</v>
      </c>
      <c r="D9" s="106">
        <v>448600</v>
      </c>
      <c r="E9" s="34"/>
      <c r="F9" s="33">
        <f>800</f>
        <v>800</v>
      </c>
      <c r="G9" s="33">
        <v>0.15</v>
      </c>
      <c r="H9" s="33">
        <v>1</v>
      </c>
      <c r="I9" s="41">
        <f>H9*G9*F9</f>
        <v>120</v>
      </c>
    </row>
    <row r="10" spans="2:9" x14ac:dyDescent="0.25">
      <c r="B10" s="38" t="s">
        <v>222</v>
      </c>
      <c r="C10" s="5" t="s">
        <v>223</v>
      </c>
      <c r="D10" s="106">
        <v>448600</v>
      </c>
      <c r="E10" s="34"/>
      <c r="F10" s="33">
        <v>400</v>
      </c>
      <c r="G10" s="33">
        <v>0.15</v>
      </c>
      <c r="H10" s="33">
        <v>2</v>
      </c>
      <c r="I10" s="41">
        <f>H10*G10*F10</f>
        <v>120</v>
      </c>
    </row>
    <row r="11" spans="2:9" x14ac:dyDescent="0.25">
      <c r="B11" s="46"/>
      <c r="C11" s="47"/>
      <c r="D11" s="47"/>
      <c r="E11" s="47"/>
      <c r="F11" s="47"/>
      <c r="G11" s="47"/>
      <c r="H11" s="40" t="s">
        <v>252</v>
      </c>
      <c r="I11" s="105">
        <f>SUM(I6:I10)</f>
        <v>386.25</v>
      </c>
    </row>
    <row r="12" spans="2:9" x14ac:dyDescent="0.25">
      <c r="B12" s="38" t="s">
        <v>226</v>
      </c>
      <c r="C12" s="5" t="s">
        <v>227</v>
      </c>
      <c r="D12" s="106">
        <v>446300</v>
      </c>
      <c r="E12" s="34"/>
      <c r="F12" s="33">
        <f>8.2+6+9.1</f>
        <v>23.299999999999997</v>
      </c>
      <c r="G12" s="33">
        <v>0.4</v>
      </c>
      <c r="H12" s="33">
        <v>1</v>
      </c>
      <c r="I12" s="41">
        <f>F12*G12</f>
        <v>9.3199999999999985</v>
      </c>
    </row>
    <row r="13" spans="2:9" x14ac:dyDescent="0.25">
      <c r="B13" s="38" t="s">
        <v>228</v>
      </c>
      <c r="C13" s="5" t="s">
        <v>605</v>
      </c>
      <c r="D13" s="106">
        <v>446300</v>
      </c>
      <c r="E13" s="34"/>
      <c r="F13" s="33"/>
      <c r="G13" s="33"/>
      <c r="H13" s="33">
        <v>1</v>
      </c>
      <c r="I13" s="41">
        <f>1.831*2+1.087*3+1.303</f>
        <v>8.2259999999999991</v>
      </c>
    </row>
    <row r="14" spans="2:9" x14ac:dyDescent="0.25">
      <c r="B14" s="38" t="s">
        <v>606</v>
      </c>
      <c r="C14" s="5" t="s">
        <v>607</v>
      </c>
      <c r="D14" s="106">
        <v>446300</v>
      </c>
      <c r="E14" s="34"/>
      <c r="F14" s="33"/>
      <c r="G14" s="33"/>
      <c r="H14" s="33">
        <v>1</v>
      </c>
      <c r="I14" s="41">
        <f>1.621+9.298</f>
        <v>10.919</v>
      </c>
    </row>
    <row r="15" spans="2:9" x14ac:dyDescent="0.25">
      <c r="B15" s="38" t="s">
        <v>226</v>
      </c>
      <c r="C15" s="5" t="s">
        <v>227</v>
      </c>
      <c r="D15" s="106">
        <v>448600</v>
      </c>
      <c r="E15" s="34"/>
      <c r="F15" s="33">
        <f>3.8+3.7+3.9+7.3</f>
        <v>18.7</v>
      </c>
      <c r="G15" s="33">
        <v>0.4</v>
      </c>
      <c r="H15" s="33">
        <v>1</v>
      </c>
      <c r="I15" s="41">
        <f>F15*G15</f>
        <v>7.48</v>
      </c>
    </row>
    <row r="16" spans="2:9" x14ac:dyDescent="0.25">
      <c r="B16" s="38" t="s">
        <v>627</v>
      </c>
      <c r="C16" s="5" t="s">
        <v>605</v>
      </c>
      <c r="D16" s="106">
        <v>448600</v>
      </c>
      <c r="E16" s="34"/>
      <c r="F16" s="33"/>
      <c r="G16" s="33"/>
      <c r="H16" s="33">
        <v>1</v>
      </c>
      <c r="I16" s="41">
        <v>15.5</v>
      </c>
    </row>
    <row r="17" spans="2:9" x14ac:dyDescent="0.25">
      <c r="B17" s="38" t="s">
        <v>606</v>
      </c>
      <c r="C17" s="5" t="s">
        <v>607</v>
      </c>
      <c r="D17" s="106">
        <v>448600</v>
      </c>
      <c r="E17" s="34"/>
      <c r="F17" s="33"/>
      <c r="G17" s="33"/>
      <c r="H17" s="33">
        <v>1</v>
      </c>
      <c r="I17" s="41">
        <v>12.4</v>
      </c>
    </row>
    <row r="18" spans="2:9" x14ac:dyDescent="0.25">
      <c r="B18" s="882" t="s">
        <v>252</v>
      </c>
      <c r="C18" s="883"/>
      <c r="D18" s="883"/>
      <c r="E18" s="883"/>
      <c r="F18" s="883"/>
      <c r="G18" s="883"/>
      <c r="H18" s="884"/>
      <c r="I18" s="105">
        <f>SUM(I12:I17)</f>
        <v>63.844999999999999</v>
      </c>
    </row>
    <row r="19" spans="2:9" ht="5.0999999999999996" customHeight="1" x14ac:dyDescent="0.25"/>
  </sheetData>
  <mergeCells count="9">
    <mergeCell ref="B3:I3"/>
    <mergeCell ref="B4:B5"/>
    <mergeCell ref="C4:C5"/>
    <mergeCell ref="B2:I2"/>
    <mergeCell ref="B18:H18"/>
    <mergeCell ref="F4:G4"/>
    <mergeCell ref="H4:H5"/>
    <mergeCell ref="I4:I5"/>
    <mergeCell ref="D4:E4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9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view="pageBreakPreview" zoomScale="120" zoomScaleNormal="100" zoomScaleSheetLayoutView="120" workbookViewId="0">
      <selection activeCell="C7" sqref="C7"/>
    </sheetView>
  </sheetViews>
  <sheetFormatPr defaultRowHeight="15" x14ac:dyDescent="0.25"/>
  <cols>
    <col min="1" max="1" width="0.85546875" style="30" customWidth="1"/>
    <col min="2" max="2" width="12.140625" style="30" customWidth="1"/>
    <col min="3" max="3" width="12.5703125" style="30" bestFit="1" customWidth="1"/>
    <col min="4" max="4" width="12.140625" style="30" bestFit="1" customWidth="1"/>
    <col min="5" max="5" width="21.7109375" style="30" bestFit="1" customWidth="1"/>
    <col min="6" max="8" width="9.7109375" style="30" customWidth="1"/>
    <col min="9" max="11" width="14.7109375" style="30" customWidth="1"/>
    <col min="12" max="12" width="0.85546875" style="30" customWidth="1"/>
    <col min="13" max="16384" width="9.140625" style="30"/>
  </cols>
  <sheetData>
    <row r="1" spans="2:11" ht="5.0999999999999996" customHeight="1" x14ac:dyDescent="0.25"/>
    <row r="2" spans="2:11" ht="15" customHeight="1" x14ac:dyDescent="0.25">
      <c r="B2" s="887" t="s">
        <v>303</v>
      </c>
      <c r="C2" s="875"/>
      <c r="D2" s="875"/>
      <c r="E2" s="875"/>
      <c r="F2" s="875"/>
      <c r="G2" s="875"/>
      <c r="H2" s="875"/>
      <c r="I2" s="875"/>
      <c r="J2" s="875"/>
      <c r="K2" s="888"/>
    </row>
    <row r="3" spans="2:11" ht="15" customHeight="1" x14ac:dyDescent="0.25">
      <c r="B3" s="887" t="str">
        <f>Dados!B1&amp;" - "&amp;Dados!B2&amp;" - "&amp;Dados!B3</f>
        <v>BR-285/RS - km 446,200 ao km 448,600 - LD</v>
      </c>
      <c r="C3" s="875"/>
      <c r="D3" s="875"/>
      <c r="E3" s="875"/>
      <c r="F3" s="875"/>
      <c r="G3" s="875"/>
      <c r="H3" s="875"/>
      <c r="I3" s="875"/>
      <c r="J3" s="875"/>
      <c r="K3" s="888"/>
    </row>
    <row r="4" spans="2:11" x14ac:dyDescent="0.25">
      <c r="B4" s="856" t="s">
        <v>202</v>
      </c>
      <c r="C4" s="856" t="s">
        <v>203</v>
      </c>
      <c r="D4" s="868" t="s">
        <v>307</v>
      </c>
      <c r="E4" s="868" t="s">
        <v>233</v>
      </c>
      <c r="F4" s="833" t="s">
        <v>205</v>
      </c>
      <c r="G4" s="834"/>
      <c r="H4" s="835"/>
      <c r="I4" s="868" t="s">
        <v>0</v>
      </c>
      <c r="J4" s="868" t="s">
        <v>209</v>
      </c>
      <c r="K4" s="868" t="s">
        <v>208</v>
      </c>
    </row>
    <row r="5" spans="2:11" x14ac:dyDescent="0.25">
      <c r="B5" s="892"/>
      <c r="C5" s="892"/>
      <c r="D5" s="892"/>
      <c r="E5" s="893"/>
      <c r="F5" s="63" t="s">
        <v>204</v>
      </c>
      <c r="G5" s="42" t="s">
        <v>206</v>
      </c>
      <c r="H5" s="42" t="s">
        <v>207</v>
      </c>
      <c r="I5" s="893"/>
      <c r="J5" s="893"/>
      <c r="K5" s="893"/>
    </row>
    <row r="6" spans="2:11" x14ac:dyDescent="0.25">
      <c r="B6" s="5" t="s">
        <v>210</v>
      </c>
      <c r="C6" s="5" t="s">
        <v>211</v>
      </c>
      <c r="D6" s="5" t="s">
        <v>32</v>
      </c>
      <c r="E6" s="65" t="s">
        <v>579</v>
      </c>
      <c r="F6" s="33">
        <v>1</v>
      </c>
      <c r="G6" s="33" t="s">
        <v>32</v>
      </c>
      <c r="H6" s="33" t="s">
        <v>32</v>
      </c>
      <c r="I6" s="64">
        <v>1</v>
      </c>
      <c r="J6" s="33">
        <f t="shared" ref="J6:J9" si="0">IF(F6="-",G6*H6,(PI()*F6^2)/4)</f>
        <v>0.78539816339744828</v>
      </c>
      <c r="K6" s="33">
        <v>18</v>
      </c>
    </row>
    <row r="7" spans="2:11" x14ac:dyDescent="0.25">
      <c r="B7" s="5" t="s">
        <v>212</v>
      </c>
      <c r="C7" s="5" t="s">
        <v>211</v>
      </c>
      <c r="D7" s="5" t="s">
        <v>32</v>
      </c>
      <c r="E7" s="65" t="s">
        <v>580</v>
      </c>
      <c r="F7" s="33">
        <v>1</v>
      </c>
      <c r="G7" s="33" t="s">
        <v>32</v>
      </c>
      <c r="H7" s="33" t="s">
        <v>32</v>
      </c>
      <c r="I7" s="64">
        <v>1</v>
      </c>
      <c r="J7" s="33">
        <f t="shared" si="0"/>
        <v>0.78539816339744828</v>
      </c>
      <c r="K7" s="33">
        <v>18</v>
      </c>
    </row>
    <row r="8" spans="2:11" x14ac:dyDescent="0.25">
      <c r="B8" s="5" t="s">
        <v>213</v>
      </c>
      <c r="C8" s="5" t="s">
        <v>211</v>
      </c>
      <c r="D8" s="5" t="s">
        <v>32</v>
      </c>
      <c r="E8" s="65" t="s">
        <v>581</v>
      </c>
      <c r="F8" s="33">
        <v>1</v>
      </c>
      <c r="G8" s="33" t="s">
        <v>32</v>
      </c>
      <c r="H8" s="33" t="s">
        <v>32</v>
      </c>
      <c r="I8" s="64">
        <v>1</v>
      </c>
      <c r="J8" s="33">
        <f t="shared" si="0"/>
        <v>0.78539816339744828</v>
      </c>
      <c r="K8" s="33">
        <v>18</v>
      </c>
    </row>
    <row r="9" spans="2:11" x14ac:dyDescent="0.25">
      <c r="B9" s="5" t="s">
        <v>214</v>
      </c>
      <c r="C9" s="5" t="s">
        <v>211</v>
      </c>
      <c r="D9" s="5" t="s">
        <v>32</v>
      </c>
      <c r="E9" s="65" t="s">
        <v>582</v>
      </c>
      <c r="F9" s="33">
        <v>1</v>
      </c>
      <c r="G9" s="33" t="s">
        <v>32</v>
      </c>
      <c r="H9" s="33" t="s">
        <v>32</v>
      </c>
      <c r="I9" s="64">
        <v>1</v>
      </c>
      <c r="J9" s="33">
        <f t="shared" si="0"/>
        <v>0.78539816339744828</v>
      </c>
      <c r="K9" s="33">
        <v>18</v>
      </c>
    </row>
    <row r="10" spans="2:11" x14ac:dyDescent="0.25">
      <c r="B10" s="5" t="s">
        <v>584</v>
      </c>
      <c r="C10" s="5" t="s">
        <v>211</v>
      </c>
      <c r="D10" s="5" t="s">
        <v>32</v>
      </c>
      <c r="E10" s="65" t="s">
        <v>583</v>
      </c>
      <c r="F10" s="33">
        <v>1</v>
      </c>
      <c r="G10" s="33" t="s">
        <v>32</v>
      </c>
      <c r="H10" s="33" t="s">
        <v>32</v>
      </c>
      <c r="I10" s="64">
        <v>1</v>
      </c>
      <c r="J10" s="33">
        <f t="shared" ref="J10" si="1">IF(F10="-",G10*H10,(PI()*F10^2)/4)</f>
        <v>0.78539816339744828</v>
      </c>
      <c r="K10" s="33">
        <v>18</v>
      </c>
    </row>
    <row r="11" spans="2:11" x14ac:dyDescent="0.25">
      <c r="B11" s="5" t="s">
        <v>585</v>
      </c>
      <c r="C11" s="5" t="s">
        <v>211</v>
      </c>
      <c r="D11" s="5" t="s">
        <v>32</v>
      </c>
      <c r="E11" s="65" t="s">
        <v>586</v>
      </c>
      <c r="F11" s="33">
        <v>1</v>
      </c>
      <c r="G11" s="33" t="s">
        <v>32</v>
      </c>
      <c r="H11" s="33" t="s">
        <v>32</v>
      </c>
      <c r="I11" s="64">
        <v>1</v>
      </c>
      <c r="J11" s="33">
        <f t="shared" ref="J11" si="2">IF(F11="-",G11*H11,(PI()*F11^2)/4)</f>
        <v>0.78539816339744828</v>
      </c>
      <c r="K11" s="33">
        <v>18</v>
      </c>
    </row>
    <row r="12" spans="2:11" x14ac:dyDescent="0.25">
      <c r="B12" s="5" t="s">
        <v>588</v>
      </c>
      <c r="C12" s="5" t="s">
        <v>211</v>
      </c>
      <c r="D12" s="5" t="s">
        <v>32</v>
      </c>
      <c r="E12" s="65" t="s">
        <v>587</v>
      </c>
      <c r="F12" s="33">
        <v>1</v>
      </c>
      <c r="G12" s="33" t="s">
        <v>32</v>
      </c>
      <c r="H12" s="33" t="s">
        <v>32</v>
      </c>
      <c r="I12" s="64">
        <v>1</v>
      </c>
      <c r="J12" s="33">
        <f t="shared" ref="J12:J13" si="3">IF(F12="-",G12*H12,(PI()*F12^2)/4)</f>
        <v>0.78539816339744828</v>
      </c>
      <c r="K12" s="33">
        <v>18</v>
      </c>
    </row>
    <row r="13" spans="2:11" x14ac:dyDescent="0.25">
      <c r="B13" s="5" t="s">
        <v>589</v>
      </c>
      <c r="C13" s="5" t="s">
        <v>211</v>
      </c>
      <c r="D13" s="5" t="s">
        <v>32</v>
      </c>
      <c r="E13" s="65" t="s">
        <v>591</v>
      </c>
      <c r="F13" s="33">
        <v>1</v>
      </c>
      <c r="G13" s="33" t="s">
        <v>32</v>
      </c>
      <c r="H13" s="33" t="s">
        <v>32</v>
      </c>
      <c r="I13" s="64">
        <v>1</v>
      </c>
      <c r="J13" s="33">
        <f t="shared" si="3"/>
        <v>0.78539816339744828</v>
      </c>
      <c r="K13" s="33">
        <v>15</v>
      </c>
    </row>
    <row r="14" spans="2:11" x14ac:dyDescent="0.25">
      <c r="B14" s="5" t="s">
        <v>590</v>
      </c>
      <c r="C14" s="5" t="s">
        <v>211</v>
      </c>
      <c r="D14" s="5" t="s">
        <v>32</v>
      </c>
      <c r="E14" s="65" t="s">
        <v>592</v>
      </c>
      <c r="F14" s="33">
        <v>1</v>
      </c>
      <c r="G14" s="33" t="s">
        <v>32</v>
      </c>
      <c r="H14" s="33" t="s">
        <v>32</v>
      </c>
      <c r="I14" s="64">
        <v>1</v>
      </c>
      <c r="J14" s="33">
        <f t="shared" ref="J14" si="4">IF(F14="-",G14*H14,(PI()*F14^2)/4)</f>
        <v>0.78539816339744828</v>
      </c>
      <c r="K14" s="33">
        <v>18</v>
      </c>
    </row>
    <row r="15" spans="2:11" x14ac:dyDescent="0.25">
      <c r="B15" s="5" t="s">
        <v>593</v>
      </c>
      <c r="C15" s="5" t="s">
        <v>211</v>
      </c>
      <c r="D15" s="5" t="s">
        <v>32</v>
      </c>
      <c r="E15" s="65" t="s">
        <v>594</v>
      </c>
      <c r="F15" s="33">
        <v>1</v>
      </c>
      <c r="G15" s="33" t="s">
        <v>32</v>
      </c>
      <c r="H15" s="33" t="s">
        <v>32</v>
      </c>
      <c r="I15" s="64">
        <v>1</v>
      </c>
      <c r="J15" s="33">
        <f t="shared" ref="J15" si="5">IF(F15="-",G15*H15,(PI()*F15^2)/4)</f>
        <v>0.78539816339744828</v>
      </c>
      <c r="K15" s="33">
        <v>18</v>
      </c>
    </row>
    <row r="16" spans="2:11" x14ac:dyDescent="0.25">
      <c r="B16" s="5"/>
      <c r="C16" s="5"/>
      <c r="D16" s="5"/>
      <c r="E16" s="65"/>
      <c r="F16" s="33"/>
      <c r="G16" s="33"/>
      <c r="H16" s="33"/>
      <c r="I16" s="64"/>
      <c r="J16" s="33"/>
      <c r="K16" s="33"/>
    </row>
    <row r="17" spans="2:11" x14ac:dyDescent="0.25">
      <c r="B17" s="5" t="s">
        <v>595</v>
      </c>
      <c r="C17" s="5" t="s">
        <v>305</v>
      </c>
      <c r="D17" s="5" t="s">
        <v>306</v>
      </c>
      <c r="E17" s="65" t="s">
        <v>579</v>
      </c>
      <c r="F17" s="33">
        <v>1</v>
      </c>
      <c r="G17" s="33">
        <v>1.9</v>
      </c>
      <c r="H17" s="33">
        <v>2.06</v>
      </c>
      <c r="I17" s="64">
        <v>2</v>
      </c>
      <c r="J17" s="33"/>
      <c r="K17" s="33"/>
    </row>
    <row r="18" spans="2:11" x14ac:dyDescent="0.25">
      <c r="B18" s="5" t="s">
        <v>596</v>
      </c>
      <c r="C18" s="5" t="s">
        <v>305</v>
      </c>
      <c r="D18" s="5" t="s">
        <v>306</v>
      </c>
      <c r="E18" s="65" t="s">
        <v>580</v>
      </c>
      <c r="F18" s="33">
        <v>1</v>
      </c>
      <c r="G18" s="33">
        <v>1.9</v>
      </c>
      <c r="H18" s="33">
        <v>2.06</v>
      </c>
      <c r="I18" s="64">
        <v>2</v>
      </c>
      <c r="J18" s="33"/>
      <c r="K18" s="33"/>
    </row>
    <row r="19" spans="2:11" x14ac:dyDescent="0.25">
      <c r="B19" s="5" t="s">
        <v>597</v>
      </c>
      <c r="C19" s="5" t="s">
        <v>305</v>
      </c>
      <c r="D19" s="5" t="s">
        <v>306</v>
      </c>
      <c r="E19" s="65" t="s">
        <v>581</v>
      </c>
      <c r="F19" s="33">
        <v>1</v>
      </c>
      <c r="G19" s="33">
        <v>1.9</v>
      </c>
      <c r="H19" s="33">
        <v>2.06</v>
      </c>
      <c r="I19" s="64">
        <v>2</v>
      </c>
      <c r="J19" s="33"/>
      <c r="K19" s="33"/>
    </row>
    <row r="20" spans="2:11" x14ac:dyDescent="0.25">
      <c r="B20" s="5" t="s">
        <v>598</v>
      </c>
      <c r="C20" s="5" t="s">
        <v>305</v>
      </c>
      <c r="D20" s="5" t="s">
        <v>306</v>
      </c>
      <c r="E20" s="65" t="s">
        <v>582</v>
      </c>
      <c r="F20" s="33">
        <v>1</v>
      </c>
      <c r="G20" s="33">
        <v>1.9</v>
      </c>
      <c r="H20" s="33">
        <v>2.06</v>
      </c>
      <c r="I20" s="64">
        <v>2</v>
      </c>
      <c r="J20" s="33"/>
      <c r="K20" s="33"/>
    </row>
    <row r="21" spans="2:11" x14ac:dyDescent="0.25">
      <c r="B21" s="5" t="s">
        <v>599</v>
      </c>
      <c r="C21" s="5" t="s">
        <v>305</v>
      </c>
      <c r="D21" s="5" t="s">
        <v>306</v>
      </c>
      <c r="E21" s="65" t="s">
        <v>583</v>
      </c>
      <c r="F21" s="33">
        <v>1</v>
      </c>
      <c r="G21" s="33">
        <v>1.9</v>
      </c>
      <c r="H21" s="33">
        <v>2.06</v>
      </c>
      <c r="I21" s="64">
        <v>1</v>
      </c>
      <c r="J21" s="33"/>
      <c r="K21" s="33"/>
    </row>
    <row r="22" spans="2:11" x14ac:dyDescent="0.25">
      <c r="B22" s="5" t="s">
        <v>600</v>
      </c>
      <c r="C22" s="5" t="s">
        <v>305</v>
      </c>
      <c r="D22" s="5" t="s">
        <v>306</v>
      </c>
      <c r="E22" s="65" t="s">
        <v>586</v>
      </c>
      <c r="F22" s="33">
        <v>1</v>
      </c>
      <c r="G22" s="33">
        <v>1.9</v>
      </c>
      <c r="H22" s="33">
        <v>2.06</v>
      </c>
      <c r="I22" s="64">
        <v>1</v>
      </c>
      <c r="J22" s="33"/>
      <c r="K22" s="33"/>
    </row>
    <row r="23" spans="2:11" x14ac:dyDescent="0.25">
      <c r="B23" s="5" t="s">
        <v>601</v>
      </c>
      <c r="C23" s="5" t="s">
        <v>305</v>
      </c>
      <c r="D23" s="5" t="s">
        <v>306</v>
      </c>
      <c r="E23" s="65" t="s">
        <v>587</v>
      </c>
      <c r="F23" s="33">
        <v>1</v>
      </c>
      <c r="G23" s="33">
        <v>1.9</v>
      </c>
      <c r="H23" s="33">
        <v>2.06</v>
      </c>
      <c r="I23" s="64">
        <v>2</v>
      </c>
      <c r="J23" s="33"/>
      <c r="K23" s="33"/>
    </row>
    <row r="24" spans="2:11" x14ac:dyDescent="0.25">
      <c r="B24" s="5" t="s">
        <v>602</v>
      </c>
      <c r="C24" s="5" t="s">
        <v>305</v>
      </c>
      <c r="D24" s="5" t="s">
        <v>306</v>
      </c>
      <c r="E24" s="65" t="s">
        <v>591</v>
      </c>
      <c r="F24" s="33">
        <v>1</v>
      </c>
      <c r="G24" s="33">
        <v>1.9</v>
      </c>
      <c r="H24" s="33">
        <v>2.06</v>
      </c>
      <c r="I24" s="64">
        <v>2</v>
      </c>
      <c r="J24" s="33"/>
      <c r="K24" s="33"/>
    </row>
    <row r="25" spans="2:11" x14ac:dyDescent="0.25">
      <c r="B25" s="5" t="s">
        <v>603</v>
      </c>
      <c r="C25" s="5" t="s">
        <v>305</v>
      </c>
      <c r="D25" s="5" t="s">
        <v>306</v>
      </c>
      <c r="E25" s="65" t="s">
        <v>592</v>
      </c>
      <c r="F25" s="33">
        <v>1</v>
      </c>
      <c r="G25" s="33">
        <v>1.9</v>
      </c>
      <c r="H25" s="33">
        <v>2.06</v>
      </c>
      <c r="I25" s="64">
        <v>2</v>
      </c>
      <c r="J25" s="33"/>
      <c r="K25" s="33"/>
    </row>
    <row r="26" spans="2:11" x14ac:dyDescent="0.25">
      <c r="B26" s="5" t="s">
        <v>604</v>
      </c>
      <c r="C26" s="5" t="s">
        <v>305</v>
      </c>
      <c r="D26" s="5" t="s">
        <v>306</v>
      </c>
      <c r="E26" s="65" t="s">
        <v>594</v>
      </c>
      <c r="F26" s="33">
        <v>1</v>
      </c>
      <c r="G26" s="33">
        <v>1.9</v>
      </c>
      <c r="H26" s="33">
        <v>2.06</v>
      </c>
      <c r="I26" s="64">
        <v>2</v>
      </c>
      <c r="J26" s="33"/>
      <c r="K26" s="33"/>
    </row>
    <row r="27" spans="2:11" x14ac:dyDescent="0.25">
      <c r="B27" s="5"/>
      <c r="C27" s="5"/>
      <c r="D27" s="5"/>
      <c r="E27" s="65"/>
      <c r="F27" s="33"/>
      <c r="G27" s="33"/>
      <c r="H27" s="33"/>
      <c r="I27" s="64"/>
      <c r="J27" s="33"/>
      <c r="K27" s="33"/>
    </row>
    <row r="28" spans="2:11" x14ac:dyDescent="0.25">
      <c r="B28" s="52"/>
      <c r="C28" s="53" t="s">
        <v>276</v>
      </c>
      <c r="D28" s="53"/>
      <c r="E28" s="67"/>
      <c r="F28" s="68">
        <v>1</v>
      </c>
      <c r="G28" s="68"/>
      <c r="H28" s="68"/>
      <c r="I28" s="69">
        <f>SUMIF(F17:F26,F28,I17:I26)</f>
        <v>18</v>
      </c>
      <c r="J28" s="68"/>
      <c r="K28" s="70">
        <f>SUMIF(F6:F27,F28,K6:K27)</f>
        <v>177</v>
      </c>
    </row>
    <row r="29" spans="2:11" x14ac:dyDescent="0.25">
      <c r="B29" s="889" t="s">
        <v>304</v>
      </c>
      <c r="C29" s="890"/>
      <c r="D29" s="890"/>
      <c r="E29" s="890"/>
      <c r="F29" s="890"/>
      <c r="G29" s="890"/>
      <c r="H29" s="890"/>
      <c r="I29" s="890"/>
      <c r="J29" s="890"/>
      <c r="K29" s="891"/>
    </row>
    <row r="30" spans="2:11" s="66" customFormat="1" x14ac:dyDescent="0.25">
      <c r="B30" s="889"/>
      <c r="C30" s="890"/>
      <c r="D30" s="890"/>
      <c r="E30" s="890"/>
      <c r="F30" s="890"/>
      <c r="G30" s="890"/>
      <c r="H30" s="890"/>
      <c r="I30" s="890"/>
      <c r="J30" s="890"/>
      <c r="K30" s="891"/>
    </row>
    <row r="31" spans="2:11" ht="5.0999999999999996" customHeight="1" x14ac:dyDescent="0.25"/>
  </sheetData>
  <mergeCells count="12">
    <mergeCell ref="B2:K2"/>
    <mergeCell ref="B30:K30"/>
    <mergeCell ref="D4:D5"/>
    <mergeCell ref="B3:K3"/>
    <mergeCell ref="F4:H4"/>
    <mergeCell ref="K4:K5"/>
    <mergeCell ref="C4:C5"/>
    <mergeCell ref="B4:B5"/>
    <mergeCell ref="J4:J5"/>
    <mergeCell ref="I4:I5"/>
    <mergeCell ref="E4:E5"/>
    <mergeCell ref="B29:K29"/>
  </mergeCells>
  <phoneticPr fontId="17" type="noConversion"/>
  <printOptions horizontalCentered="1"/>
  <pageMargins left="0.59055118110236227" right="0.39370078740157483" top="0.59055118110236227" bottom="0.59055118110236227" header="0.19685039370078741" footer="0.19685039370078741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view="pageBreakPreview" zoomScaleNormal="100" zoomScaleSheetLayoutView="100" workbookViewId="0">
      <pane ySplit="5" topLeftCell="A8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.7109375" style="30" customWidth="1"/>
    <col min="2" max="2" width="28.85546875" style="30" bestFit="1" customWidth="1"/>
    <col min="3" max="4" width="12.28515625" style="30" customWidth="1"/>
    <col min="5" max="5" width="18.7109375" style="30" customWidth="1"/>
    <col min="6" max="6" width="18.85546875" style="30" customWidth="1"/>
    <col min="7" max="7" width="1.7109375" style="30" customWidth="1"/>
    <col min="8" max="8" width="12.28515625" style="30" customWidth="1"/>
    <col min="9" max="16384" width="9.140625" style="30"/>
  </cols>
  <sheetData>
    <row r="1" spans="2:6" ht="5.0999999999999996" customHeight="1" x14ac:dyDescent="0.25"/>
    <row r="2" spans="2:6" x14ac:dyDescent="0.25">
      <c r="B2" s="833" t="s">
        <v>433</v>
      </c>
      <c r="C2" s="834"/>
      <c r="D2" s="834"/>
      <c r="E2" s="834"/>
      <c r="F2" s="835"/>
    </row>
    <row r="3" spans="2:6" x14ac:dyDescent="0.25">
      <c r="B3" s="833" t="str">
        <f>Dados!B1&amp;" - "&amp;Dados!B2&amp;" - "&amp;Dados!B3</f>
        <v>BR-285/RS - km 446,200 ao km 448,600 - LD</v>
      </c>
      <c r="C3" s="834"/>
      <c r="D3" s="834"/>
      <c r="E3" s="834"/>
      <c r="F3" s="835"/>
    </row>
    <row r="4" spans="2:6" ht="15" customHeight="1" x14ac:dyDescent="0.25">
      <c r="B4" s="837" t="s">
        <v>233</v>
      </c>
      <c r="C4" s="837"/>
      <c r="D4" s="837"/>
      <c r="E4" s="836" t="s">
        <v>286</v>
      </c>
      <c r="F4" s="836" t="s">
        <v>203</v>
      </c>
    </row>
    <row r="5" spans="2:6" x14ac:dyDescent="0.25">
      <c r="B5" s="39" t="s">
        <v>293</v>
      </c>
      <c r="C5" s="39" t="s">
        <v>250</v>
      </c>
      <c r="D5" s="39" t="s">
        <v>251</v>
      </c>
      <c r="E5" s="837"/>
      <c r="F5" s="837"/>
    </row>
    <row r="6" spans="2:6" x14ac:dyDescent="0.25">
      <c r="B6" s="5" t="s">
        <v>459</v>
      </c>
      <c r="C6" s="34">
        <v>0</v>
      </c>
      <c r="D6" s="34">
        <v>2500</v>
      </c>
      <c r="E6" s="112">
        <f>D6-C6</f>
        <v>2500</v>
      </c>
      <c r="F6" s="103" t="s">
        <v>434</v>
      </c>
    </row>
    <row r="7" spans="2:6" x14ac:dyDescent="0.25">
      <c r="B7" s="5" t="s">
        <v>460</v>
      </c>
      <c r="C7" s="34">
        <v>0</v>
      </c>
      <c r="D7" s="34">
        <v>2500</v>
      </c>
      <c r="E7" s="112">
        <f>D7-C7</f>
        <v>2500</v>
      </c>
      <c r="F7" s="103" t="s">
        <v>434</v>
      </c>
    </row>
    <row r="8" spans="2:6" x14ac:dyDescent="0.25">
      <c r="B8" s="5" t="s">
        <v>457</v>
      </c>
      <c r="C8" s="34">
        <v>446200</v>
      </c>
      <c r="D8" s="34"/>
      <c r="E8" s="112">
        <v>138</v>
      </c>
      <c r="F8" s="103" t="s">
        <v>434</v>
      </c>
    </row>
    <row r="9" spans="2:6" x14ac:dyDescent="0.25">
      <c r="B9" s="5" t="s">
        <v>458</v>
      </c>
      <c r="C9" s="34">
        <v>448600</v>
      </c>
      <c r="D9" s="34"/>
      <c r="E9" s="112">
        <v>183</v>
      </c>
      <c r="F9" s="103" t="s">
        <v>434</v>
      </c>
    </row>
    <row r="10" spans="2:6" x14ac:dyDescent="0.25">
      <c r="B10" s="5"/>
      <c r="C10" s="34"/>
      <c r="D10" s="34"/>
      <c r="E10" s="33"/>
      <c r="F10" s="103"/>
    </row>
    <row r="11" spans="2:6" x14ac:dyDescent="0.25">
      <c r="B11" s="5"/>
      <c r="C11" s="34"/>
      <c r="D11" s="34"/>
      <c r="E11" s="33"/>
      <c r="F11" s="103"/>
    </row>
    <row r="12" spans="2:6" x14ac:dyDescent="0.25">
      <c r="B12" s="5"/>
      <c r="C12" s="34"/>
      <c r="D12" s="34"/>
      <c r="E12" s="33"/>
      <c r="F12" s="103"/>
    </row>
    <row r="13" spans="2:6" x14ac:dyDescent="0.25">
      <c r="B13" s="5"/>
      <c r="C13" s="34"/>
      <c r="D13" s="34"/>
      <c r="E13" s="33"/>
      <c r="F13" s="106"/>
    </row>
    <row r="14" spans="2:6" x14ac:dyDescent="0.25">
      <c r="B14" s="5"/>
      <c r="C14" s="34"/>
      <c r="D14" s="34"/>
      <c r="E14" s="34"/>
      <c r="F14" s="34"/>
    </row>
    <row r="15" spans="2:6" x14ac:dyDescent="0.25">
      <c r="B15" s="5"/>
      <c r="C15" s="34"/>
      <c r="D15" s="34"/>
      <c r="E15" s="34"/>
      <c r="F15" s="34"/>
    </row>
    <row r="16" spans="2:6" x14ac:dyDescent="0.25">
      <c r="B16" s="5"/>
      <c r="C16" s="34"/>
      <c r="D16" s="34"/>
      <c r="E16" s="34"/>
      <c r="F16" s="34"/>
    </row>
    <row r="17" spans="2:6" x14ac:dyDescent="0.25">
      <c r="B17" s="5"/>
      <c r="C17" s="34"/>
      <c r="D17" s="34"/>
      <c r="E17" s="34"/>
      <c r="F17" s="34"/>
    </row>
    <row r="18" spans="2:6" x14ac:dyDescent="0.25">
      <c r="B18" s="5"/>
      <c r="C18" s="34"/>
      <c r="D18" s="34"/>
      <c r="E18" s="34"/>
      <c r="F18" s="34"/>
    </row>
    <row r="19" spans="2:6" x14ac:dyDescent="0.25">
      <c r="B19" s="5"/>
      <c r="C19" s="34"/>
      <c r="D19" s="34"/>
      <c r="E19" s="34"/>
      <c r="F19" s="34"/>
    </row>
    <row r="20" spans="2:6" x14ac:dyDescent="0.25">
      <c r="B20" s="5"/>
      <c r="C20" s="34"/>
      <c r="D20" s="34"/>
      <c r="E20" s="34"/>
      <c r="F20" s="34"/>
    </row>
    <row r="21" spans="2:6" x14ac:dyDescent="0.25">
      <c r="B21" s="94"/>
      <c r="C21" s="101"/>
      <c r="D21" s="101"/>
      <c r="E21" s="101"/>
      <c r="F21" s="101"/>
    </row>
    <row r="22" spans="2:6" x14ac:dyDescent="0.25">
      <c r="B22" s="107"/>
      <c r="C22" s="108"/>
      <c r="D22" s="108"/>
      <c r="E22" s="108"/>
      <c r="F22" s="109"/>
    </row>
    <row r="23" spans="2:6" x14ac:dyDescent="0.25">
      <c r="B23" s="98"/>
      <c r="C23" s="99"/>
      <c r="D23" s="99" t="s">
        <v>461</v>
      </c>
      <c r="E23" s="102">
        <f>SUMIF(F6:F21,F23,E6:E21)</f>
        <v>5321</v>
      </c>
      <c r="F23" s="100" t="s">
        <v>434</v>
      </c>
    </row>
    <row r="24" spans="2:6" ht="5.0999999999999996" customHeight="1" x14ac:dyDescent="0.25"/>
  </sheetData>
  <mergeCells count="5">
    <mergeCell ref="B2:F2"/>
    <mergeCell ref="B3:F3"/>
    <mergeCell ref="B4:D4"/>
    <mergeCell ref="E4:E5"/>
    <mergeCell ref="F4:F5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177"/>
  <sheetViews>
    <sheetView showGridLines="0" view="pageBreakPreview" zoomScaleNormal="75" zoomScaleSheetLayoutView="100" workbookViewId="0">
      <pane ySplit="5" topLeftCell="A6" activePane="bottomLeft" state="frozen"/>
      <selection activeCell="C7" sqref="C7"/>
      <selection pane="bottomLeft" activeCell="C7" sqref="C7"/>
    </sheetView>
  </sheetViews>
  <sheetFormatPr defaultColWidth="14.140625" defaultRowHeight="12.75" x14ac:dyDescent="0.25"/>
  <cols>
    <col min="1" max="1" width="1" style="134" customWidth="1"/>
    <col min="2" max="2" width="39.42578125" style="135" customWidth="1"/>
    <col min="3" max="3" width="11.85546875" style="135" customWidth="1"/>
    <col min="4" max="4" width="10.5703125" style="135" customWidth="1"/>
    <col min="5" max="5" width="11.28515625" style="135" customWidth="1"/>
    <col min="6" max="6" width="11.7109375" style="135" customWidth="1"/>
    <col min="7" max="7" width="11.140625" style="135" customWidth="1"/>
    <col min="8" max="9" width="13.28515625" style="135" customWidth="1"/>
    <col min="10" max="10" width="1" style="135" customWidth="1"/>
    <col min="11" max="11" width="4.5703125" style="134" customWidth="1"/>
    <col min="12" max="12" width="15" style="134" bestFit="1" customWidth="1"/>
    <col min="13" max="16384" width="14.140625" style="134"/>
  </cols>
  <sheetData>
    <row r="1" spans="2:13" ht="5.0999999999999996" customHeight="1" thickBot="1" x14ac:dyDescent="0.3"/>
    <row r="2" spans="2:13" ht="13.5" thickTop="1" x14ac:dyDescent="0.25">
      <c r="B2" s="710" t="str">
        <f>CONCATENATE("RODOVIA: ",rodovia)</f>
        <v>RODOVIA: BR-285/RS</v>
      </c>
      <c r="C2" s="711"/>
      <c r="D2" s="711"/>
      <c r="E2" s="711"/>
      <c r="F2" s="711"/>
      <c r="G2" s="137"/>
      <c r="H2" s="137"/>
      <c r="I2" s="138"/>
    </row>
    <row r="3" spans="2:13" x14ac:dyDescent="0.25">
      <c r="B3" s="712" t="str">
        <f>CONCATENATE("LOCAL DA OBRA: ",local," - ",lado)</f>
        <v>LOCAL DA OBRA: km 446,200 ao km 448,600 - LD</v>
      </c>
      <c r="C3" s="713"/>
      <c r="D3" s="713"/>
      <c r="E3" s="713"/>
      <c r="F3" s="713"/>
      <c r="G3" s="136"/>
      <c r="H3" s="136"/>
      <c r="I3" s="139"/>
    </row>
    <row r="4" spans="2:13" ht="14.25" customHeight="1" thickBot="1" x14ac:dyDescent="0.3">
      <c r="B4" s="311"/>
      <c r="C4" s="312"/>
      <c r="D4" s="312"/>
      <c r="E4" s="312"/>
      <c r="F4" s="312"/>
      <c r="G4" s="312"/>
      <c r="H4" s="312"/>
      <c r="I4" s="313" t="str">
        <f>CONCATENATE("DATA-BASE DO ORÇAMENTO: ",data_sicro_txt)</f>
        <v>DATA-BASE DO ORÇAMENTO: outubro de 2022</v>
      </c>
    </row>
    <row r="5" spans="2:13" ht="14.25" thickTop="1" thickBot="1" x14ac:dyDescent="0.3">
      <c r="B5" s="705" t="s">
        <v>513</v>
      </c>
      <c r="C5" s="706"/>
      <c r="D5" s="706"/>
      <c r="E5" s="706"/>
      <c r="F5" s="706"/>
      <c r="G5" s="706"/>
      <c r="H5" s="706"/>
      <c r="I5" s="707"/>
    </row>
    <row r="6" spans="2:13" ht="13.5" thickTop="1" x14ac:dyDescent="0.25">
      <c r="B6" s="140"/>
      <c r="C6" s="134"/>
      <c r="D6" s="134"/>
      <c r="E6" s="134"/>
      <c r="F6" s="134"/>
      <c r="G6" s="134"/>
      <c r="H6" s="134"/>
      <c r="I6" s="141"/>
      <c r="J6" s="134"/>
    </row>
    <row r="7" spans="2:13" ht="42.95" customHeight="1" x14ac:dyDescent="0.25">
      <c r="B7" s="142" t="s">
        <v>558</v>
      </c>
      <c r="C7" s="143" t="s">
        <v>514</v>
      </c>
      <c r="D7" s="144" t="s">
        <v>515</v>
      </c>
      <c r="E7" s="144" t="s">
        <v>516</v>
      </c>
      <c r="F7" s="144" t="s">
        <v>517</v>
      </c>
      <c r="G7" s="144" t="s">
        <v>221</v>
      </c>
      <c r="H7" s="145" t="s">
        <v>518</v>
      </c>
      <c r="I7" s="146" t="s">
        <v>519</v>
      </c>
    </row>
    <row r="8" spans="2:13" x14ac:dyDescent="0.25">
      <c r="B8" s="147" t="s">
        <v>559</v>
      </c>
      <c r="C8" s="148">
        <v>0.02</v>
      </c>
      <c r="D8" s="149">
        <v>446.2</v>
      </c>
      <c r="E8" s="149">
        <v>448.6</v>
      </c>
      <c r="F8" s="150">
        <f>E8-D8</f>
        <v>2.4000000000000341</v>
      </c>
      <c r="G8" s="151">
        <v>1</v>
      </c>
      <c r="H8" s="152">
        <f>(F8/$F$27)*G8</f>
        <v>1</v>
      </c>
      <c r="I8" s="153">
        <v>1</v>
      </c>
    </row>
    <row r="9" spans="2:13" x14ac:dyDescent="0.25">
      <c r="B9" s="147"/>
      <c r="C9" s="148"/>
      <c r="D9" s="149"/>
      <c r="E9" s="149"/>
      <c r="F9" s="150"/>
      <c r="G9" s="151"/>
      <c r="H9" s="152"/>
      <c r="I9" s="153"/>
    </row>
    <row r="10" spans="2:13" x14ac:dyDescent="0.25">
      <c r="B10" s="147"/>
      <c r="C10" s="148"/>
      <c r="D10" s="149"/>
      <c r="E10" s="149"/>
      <c r="F10" s="150"/>
      <c r="G10" s="151"/>
      <c r="H10" s="152"/>
      <c r="I10" s="153"/>
    </row>
    <row r="11" spans="2:13" x14ac:dyDescent="0.25">
      <c r="B11" s="147"/>
      <c r="C11" s="148"/>
      <c r="D11" s="149"/>
      <c r="E11" s="149"/>
      <c r="F11" s="150"/>
      <c r="G11" s="151"/>
      <c r="H11" s="152"/>
      <c r="I11" s="153"/>
    </row>
    <row r="12" spans="2:13" x14ac:dyDescent="0.25">
      <c r="B12" s="147"/>
      <c r="C12" s="148"/>
      <c r="D12" s="149"/>
      <c r="E12" s="149"/>
      <c r="F12" s="150"/>
      <c r="G12" s="151"/>
      <c r="H12" s="152"/>
      <c r="I12" s="153"/>
    </row>
    <row r="13" spans="2:13" x14ac:dyDescent="0.25">
      <c r="B13" s="147"/>
      <c r="C13" s="148"/>
      <c r="D13" s="149"/>
      <c r="E13" s="149"/>
      <c r="F13" s="150"/>
      <c r="G13" s="151"/>
      <c r="H13" s="152"/>
      <c r="I13" s="153"/>
    </row>
    <row r="14" spans="2:13" x14ac:dyDescent="0.25">
      <c r="B14" s="147"/>
      <c r="C14" s="148"/>
      <c r="D14" s="149"/>
      <c r="E14" s="149"/>
      <c r="F14" s="150"/>
      <c r="G14" s="151"/>
      <c r="H14" s="152"/>
      <c r="I14" s="153"/>
    </row>
    <row r="15" spans="2:13" x14ac:dyDescent="0.25">
      <c r="B15" s="147"/>
      <c r="C15" s="148"/>
      <c r="D15" s="149"/>
      <c r="E15" s="149"/>
      <c r="F15" s="150"/>
      <c r="G15" s="151"/>
      <c r="H15" s="152"/>
      <c r="I15" s="153"/>
      <c r="J15" s="134"/>
      <c r="M15" s="154"/>
    </row>
    <row r="16" spans="2:13" x14ac:dyDescent="0.25">
      <c r="B16" s="147"/>
      <c r="C16" s="148"/>
      <c r="D16" s="149"/>
      <c r="E16" s="149"/>
      <c r="F16" s="150"/>
      <c r="G16" s="151"/>
      <c r="H16" s="152"/>
      <c r="I16" s="153"/>
      <c r="J16" s="134"/>
      <c r="K16" s="155"/>
      <c r="M16" s="154"/>
    </row>
    <row r="17" spans="2:13" x14ac:dyDescent="0.25">
      <c r="B17" s="147"/>
      <c r="C17" s="148"/>
      <c r="D17" s="149"/>
      <c r="E17" s="149"/>
      <c r="F17" s="150"/>
      <c r="G17" s="151"/>
      <c r="H17" s="152"/>
      <c r="I17" s="153"/>
      <c r="J17" s="134"/>
      <c r="K17" s="156"/>
      <c r="M17" s="154"/>
    </row>
    <row r="18" spans="2:13" x14ac:dyDescent="0.25">
      <c r="B18" s="147"/>
      <c r="C18" s="148"/>
      <c r="D18" s="149"/>
      <c r="E18" s="149"/>
      <c r="F18" s="150"/>
      <c r="G18" s="151"/>
      <c r="H18" s="152"/>
      <c r="I18" s="153"/>
      <c r="J18" s="134"/>
      <c r="M18" s="157"/>
    </row>
    <row r="19" spans="2:13" x14ac:dyDescent="0.25">
      <c r="B19" s="147"/>
      <c r="C19" s="148"/>
      <c r="D19" s="149"/>
      <c r="E19" s="149"/>
      <c r="F19" s="150"/>
      <c r="G19" s="151"/>
      <c r="H19" s="152"/>
      <c r="I19" s="153"/>
      <c r="J19" s="134"/>
      <c r="M19" s="154"/>
    </row>
    <row r="20" spans="2:13" x14ac:dyDescent="0.25">
      <c r="B20" s="147"/>
      <c r="C20" s="148"/>
      <c r="D20" s="149"/>
      <c r="E20" s="149"/>
      <c r="F20" s="150"/>
      <c r="G20" s="151"/>
      <c r="H20" s="152"/>
      <c r="I20" s="153"/>
      <c r="J20" s="134"/>
      <c r="M20" s="154"/>
    </row>
    <row r="21" spans="2:13" x14ac:dyDescent="0.25">
      <c r="B21" s="147"/>
      <c r="C21" s="148"/>
      <c r="D21" s="149"/>
      <c r="E21" s="149"/>
      <c r="F21" s="150"/>
      <c r="G21" s="151"/>
      <c r="H21" s="152"/>
      <c r="I21" s="153"/>
      <c r="J21" s="134"/>
      <c r="M21" s="154"/>
    </row>
    <row r="22" spans="2:13" x14ac:dyDescent="0.25">
      <c r="B22" s="147"/>
      <c r="C22" s="148"/>
      <c r="D22" s="149"/>
      <c r="E22" s="149"/>
      <c r="F22" s="150"/>
      <c r="G22" s="151"/>
      <c r="H22" s="152"/>
      <c r="I22" s="153"/>
      <c r="J22" s="134"/>
      <c r="M22" s="154"/>
    </row>
    <row r="23" spans="2:13" x14ac:dyDescent="0.25">
      <c r="B23" s="147"/>
      <c r="C23" s="148"/>
      <c r="D23" s="149"/>
      <c r="E23" s="149"/>
      <c r="F23" s="150"/>
      <c r="G23" s="151"/>
      <c r="H23" s="152"/>
      <c r="I23" s="153"/>
      <c r="J23" s="134"/>
      <c r="M23" s="154"/>
    </row>
    <row r="24" spans="2:13" x14ac:dyDescent="0.25">
      <c r="B24" s="147"/>
      <c r="C24" s="148"/>
      <c r="D24" s="149"/>
      <c r="E24" s="149"/>
      <c r="F24" s="150"/>
      <c r="G24" s="151"/>
      <c r="H24" s="152"/>
      <c r="I24" s="153"/>
      <c r="J24" s="134"/>
      <c r="M24" s="154"/>
    </row>
    <row r="25" spans="2:13" x14ac:dyDescent="0.25">
      <c r="B25" s="147"/>
      <c r="C25" s="148"/>
      <c r="D25" s="149"/>
      <c r="E25" s="149"/>
      <c r="F25" s="150"/>
      <c r="G25" s="151"/>
      <c r="H25" s="152"/>
      <c r="I25" s="153"/>
      <c r="J25" s="134"/>
      <c r="M25" s="154"/>
    </row>
    <row r="26" spans="2:13" x14ac:dyDescent="0.25">
      <c r="B26" s="147"/>
      <c r="C26" s="148"/>
      <c r="D26" s="149"/>
      <c r="E26" s="149"/>
      <c r="F26" s="150"/>
      <c r="G26" s="151"/>
      <c r="H26" s="152"/>
      <c r="I26" s="153"/>
      <c r="J26" s="134"/>
      <c r="M26" s="154"/>
    </row>
    <row r="27" spans="2:13" x14ac:dyDescent="0.25">
      <c r="B27" s="158" t="s">
        <v>520</v>
      </c>
      <c r="C27" s="159">
        <f>AVERAGE(C8:C26)</f>
        <v>0.02</v>
      </c>
      <c r="D27" s="160">
        <f>SMALL(D8:D17,1)</f>
        <v>446.2</v>
      </c>
      <c r="E27" s="160">
        <f>LARGE(E8:E26,1)</f>
        <v>448.6</v>
      </c>
      <c r="F27" s="160">
        <f>SUMPRODUCT(F8:F26,G8:G26)</f>
        <v>2.4000000000000341</v>
      </c>
      <c r="G27" s="160" t="s">
        <v>32</v>
      </c>
      <c r="H27" s="161">
        <f>SUM(H8:H26)</f>
        <v>1</v>
      </c>
      <c r="I27" s="162" t="s">
        <v>32</v>
      </c>
    </row>
    <row r="28" spans="2:13" ht="13.5" customHeight="1" x14ac:dyDescent="0.25">
      <c r="B28" s="708" t="s">
        <v>57</v>
      </c>
      <c r="C28" s="709"/>
      <c r="D28" s="709"/>
      <c r="E28" s="709"/>
      <c r="F28" s="709"/>
      <c r="G28" s="709"/>
      <c r="H28" s="709"/>
      <c r="I28" s="163">
        <f>ROUND(SUMPRODUCT(C8:C26,H8:H26,I8:I26),4)</f>
        <v>0.02</v>
      </c>
    </row>
    <row r="29" spans="2:13" ht="13.5" thickBot="1" x14ac:dyDescent="0.3">
      <c r="B29" s="140"/>
      <c r="C29" s="134"/>
      <c r="D29" s="134"/>
      <c r="E29" s="134"/>
      <c r="F29" s="134"/>
      <c r="G29" s="134"/>
      <c r="H29" s="134"/>
      <c r="I29" s="141"/>
      <c r="J29" s="134"/>
      <c r="M29" s="164"/>
    </row>
    <row r="30" spans="2:13" ht="13.5" thickTop="1" x14ac:dyDescent="0.25">
      <c r="B30" s="700" t="s">
        <v>521</v>
      </c>
      <c r="C30" s="701"/>
      <c r="D30" s="701"/>
      <c r="E30" s="701"/>
      <c r="F30" s="701"/>
      <c r="G30" s="701"/>
      <c r="H30" s="701"/>
      <c r="I30" s="702"/>
    </row>
    <row r="31" spans="2:13" x14ac:dyDescent="0.25">
      <c r="B31" s="698" t="s">
        <v>58</v>
      </c>
      <c r="C31" s="699"/>
      <c r="D31" s="699"/>
      <c r="E31" s="699"/>
      <c r="F31" s="699"/>
      <c r="G31" s="699"/>
      <c r="H31" s="703" t="s">
        <v>560</v>
      </c>
      <c r="I31" s="704"/>
    </row>
    <row r="32" spans="2:13" x14ac:dyDescent="0.25">
      <c r="B32" s="698" t="s">
        <v>59</v>
      </c>
      <c r="C32" s="699"/>
      <c r="D32" s="699"/>
      <c r="E32" s="699"/>
      <c r="F32" s="699"/>
      <c r="G32" s="699"/>
      <c r="H32" s="165" t="s">
        <v>522</v>
      </c>
      <c r="I32" s="166" t="s">
        <v>523</v>
      </c>
      <c r="J32" s="134"/>
      <c r="M32" s="164"/>
    </row>
    <row r="33" spans="2:9" x14ac:dyDescent="0.25">
      <c r="B33" s="696" t="s">
        <v>60</v>
      </c>
      <c r="C33" s="697"/>
      <c r="D33" s="694" t="s">
        <v>61</v>
      </c>
      <c r="E33" s="694"/>
      <c r="F33" s="694"/>
      <c r="G33" s="694"/>
      <c r="H33" s="167">
        <v>4.7399999999999998E-2</v>
      </c>
      <c r="I33" s="168">
        <v>0.06</v>
      </c>
    </row>
    <row r="34" spans="2:9" x14ac:dyDescent="0.25">
      <c r="B34" s="696" t="s">
        <v>62</v>
      </c>
      <c r="C34" s="697"/>
      <c r="D34" s="694" t="s">
        <v>524</v>
      </c>
      <c r="E34" s="694"/>
      <c r="F34" s="694"/>
      <c r="G34" s="694"/>
      <c r="H34" s="167">
        <v>9.9000000000000008E-3</v>
      </c>
      <c r="I34" s="168">
        <v>1.26E-2</v>
      </c>
    </row>
    <row r="35" spans="2:9" x14ac:dyDescent="0.25">
      <c r="B35" s="696" t="s">
        <v>63</v>
      </c>
      <c r="C35" s="697"/>
      <c r="D35" s="694" t="s">
        <v>64</v>
      </c>
      <c r="E35" s="694"/>
      <c r="F35" s="694"/>
      <c r="G35" s="694"/>
      <c r="H35" s="167">
        <v>2.5000000000000001E-3</v>
      </c>
      <c r="I35" s="168">
        <v>3.2000000000000002E-3</v>
      </c>
    </row>
    <row r="36" spans="2:9" x14ac:dyDescent="0.25">
      <c r="B36" s="696" t="s">
        <v>65</v>
      </c>
      <c r="C36" s="697"/>
      <c r="D36" s="694" t="s">
        <v>66</v>
      </c>
      <c r="E36" s="694"/>
      <c r="F36" s="694"/>
      <c r="G36" s="694"/>
      <c r="H36" s="167">
        <v>5.0000000000000001E-3</v>
      </c>
      <c r="I36" s="168">
        <v>6.3E-3</v>
      </c>
    </row>
    <row r="37" spans="2:9" ht="13.5" x14ac:dyDescent="0.25">
      <c r="B37" s="696"/>
      <c r="C37" s="697"/>
      <c r="D37" s="695" t="s">
        <v>525</v>
      </c>
      <c r="E37" s="695"/>
      <c r="F37" s="695"/>
      <c r="G37" s="695"/>
      <c r="H37" s="169">
        <f>SUM(H33:H36)</f>
        <v>6.4799999999999996E-2</v>
      </c>
      <c r="I37" s="170">
        <f>SUM(I33:I36)</f>
        <v>8.2099999999999992E-2</v>
      </c>
    </row>
    <row r="38" spans="2:9" x14ac:dyDescent="0.25">
      <c r="B38" s="698" t="s">
        <v>67</v>
      </c>
      <c r="C38" s="699"/>
      <c r="D38" s="699"/>
      <c r="E38" s="699"/>
      <c r="F38" s="699"/>
      <c r="G38" s="699"/>
      <c r="H38" s="165" t="s">
        <v>522</v>
      </c>
      <c r="I38" s="166" t="s">
        <v>523</v>
      </c>
    </row>
    <row r="39" spans="2:9" x14ac:dyDescent="0.25">
      <c r="B39" s="696" t="s">
        <v>68</v>
      </c>
      <c r="C39" s="697"/>
      <c r="D39" s="694" t="s">
        <v>61</v>
      </c>
      <c r="E39" s="694"/>
      <c r="F39" s="694"/>
      <c r="G39" s="694"/>
      <c r="H39" s="167">
        <v>7.9000000000000001E-2</v>
      </c>
      <c r="I39" s="168">
        <v>0.1</v>
      </c>
    </row>
    <row r="40" spans="2:9" ht="13.5" x14ac:dyDescent="0.25">
      <c r="B40" s="696"/>
      <c r="C40" s="697"/>
      <c r="D40" s="695" t="s">
        <v>526</v>
      </c>
      <c r="E40" s="695"/>
      <c r="F40" s="695"/>
      <c r="G40" s="695"/>
      <c r="H40" s="169">
        <f>SUM(H39)</f>
        <v>7.9000000000000001E-2</v>
      </c>
      <c r="I40" s="170">
        <f>SUM(I39)</f>
        <v>0.1</v>
      </c>
    </row>
    <row r="41" spans="2:9" x14ac:dyDescent="0.25">
      <c r="B41" s="698" t="s">
        <v>69</v>
      </c>
      <c r="C41" s="699"/>
      <c r="D41" s="699"/>
      <c r="E41" s="699"/>
      <c r="F41" s="699"/>
      <c r="G41" s="699"/>
      <c r="H41" s="165" t="s">
        <v>522</v>
      </c>
      <c r="I41" s="166" t="s">
        <v>523</v>
      </c>
    </row>
    <row r="42" spans="2:9" x14ac:dyDescent="0.25">
      <c r="B42" s="692" t="s">
        <v>70</v>
      </c>
      <c r="C42" s="693"/>
      <c r="D42" s="694" t="s">
        <v>527</v>
      </c>
      <c r="E42" s="694"/>
      <c r="F42" s="694"/>
      <c r="G42" s="694"/>
      <c r="H42" s="167">
        <v>6.5000000000000006E-3</v>
      </c>
      <c r="I42" s="168">
        <v>8.2000000000000007E-3</v>
      </c>
    </row>
    <row r="43" spans="2:9" x14ac:dyDescent="0.25">
      <c r="B43" s="692" t="s">
        <v>71</v>
      </c>
      <c r="C43" s="693"/>
      <c r="D43" s="694" t="s">
        <v>528</v>
      </c>
      <c r="E43" s="694"/>
      <c r="F43" s="694"/>
      <c r="G43" s="694"/>
      <c r="H43" s="167">
        <v>0.03</v>
      </c>
      <c r="I43" s="168">
        <v>3.7999999999999999E-2</v>
      </c>
    </row>
    <row r="44" spans="2:9" x14ac:dyDescent="0.25">
      <c r="B44" s="692" t="s">
        <v>72</v>
      </c>
      <c r="C44" s="693"/>
      <c r="D44" s="694" t="s">
        <v>528</v>
      </c>
      <c r="E44" s="694"/>
      <c r="F44" s="694"/>
      <c r="G44" s="694"/>
      <c r="H44" s="171">
        <f>I28</f>
        <v>0.02</v>
      </c>
      <c r="I44" s="168">
        <f>((I37+I40+H45)/(1-H45))-(I33+I34+I35+I36+I39+I42+I43)</f>
        <v>2.458818229994697E-2</v>
      </c>
    </row>
    <row r="45" spans="2:9" ht="13.5" x14ac:dyDescent="0.25">
      <c r="B45" s="692"/>
      <c r="C45" s="693"/>
      <c r="D45" s="695" t="s">
        <v>529</v>
      </c>
      <c r="E45" s="695"/>
      <c r="F45" s="695"/>
      <c r="G45" s="695"/>
      <c r="H45" s="169">
        <f>SUM(H42:H44)</f>
        <v>5.6499999999999995E-2</v>
      </c>
      <c r="I45" s="170">
        <f>SUM(I42:I44)</f>
        <v>7.0788182299946961E-2</v>
      </c>
    </row>
    <row r="46" spans="2:9" x14ac:dyDescent="0.25">
      <c r="B46" s="687" t="s">
        <v>530</v>
      </c>
      <c r="C46" s="688"/>
      <c r="D46" s="688"/>
      <c r="E46" s="688"/>
      <c r="F46" s="688"/>
      <c r="G46" s="688"/>
      <c r="H46" s="172">
        <f>ROUND(H45+H40+H37,4)</f>
        <v>0.20030000000000001</v>
      </c>
      <c r="I46" s="173">
        <f>ROUND(I45+I40+I37,4)</f>
        <v>0.25290000000000001</v>
      </c>
    </row>
    <row r="47" spans="2:9" x14ac:dyDescent="0.25">
      <c r="B47" s="181"/>
      <c r="C47" s="182"/>
      <c r="D47" s="182"/>
      <c r="E47" s="182"/>
      <c r="F47" s="182"/>
      <c r="G47" s="182"/>
      <c r="H47" s="301"/>
      <c r="I47" s="302"/>
    </row>
    <row r="48" spans="2:9" ht="13.5" thickBot="1" x14ac:dyDescent="0.3">
      <c r="B48" s="303"/>
      <c r="C48" s="304"/>
      <c r="D48" s="304"/>
      <c r="E48" s="304"/>
      <c r="F48" s="304"/>
      <c r="G48" s="307" t="s">
        <v>390</v>
      </c>
      <c r="H48" s="305">
        <v>0.15</v>
      </c>
      <c r="I48" s="306"/>
    </row>
    <row r="49" spans="2:17" ht="14.25" thickTop="1" thickBot="1" x14ac:dyDescent="0.3">
      <c r="B49" s="140"/>
      <c r="C49" s="134"/>
      <c r="D49" s="134"/>
      <c r="E49" s="134"/>
      <c r="F49" s="134"/>
      <c r="G49" s="134"/>
      <c r="H49" s="134"/>
      <c r="I49" s="141"/>
      <c r="J49" s="134"/>
      <c r="M49" s="154"/>
    </row>
    <row r="50" spans="2:17" ht="13.5" thickTop="1" x14ac:dyDescent="0.25">
      <c r="B50" s="700" t="s">
        <v>531</v>
      </c>
      <c r="C50" s="701"/>
      <c r="D50" s="701"/>
      <c r="E50" s="701"/>
      <c r="F50" s="701"/>
      <c r="G50" s="701"/>
      <c r="H50" s="701"/>
      <c r="I50" s="702"/>
      <c r="M50" s="154"/>
    </row>
    <row r="51" spans="2:17" x14ac:dyDescent="0.25">
      <c r="B51" s="698" t="s">
        <v>58</v>
      </c>
      <c r="C51" s="699"/>
      <c r="D51" s="699"/>
      <c r="E51" s="699"/>
      <c r="F51" s="699"/>
      <c r="G51" s="699"/>
      <c r="H51" s="703" t="s">
        <v>560</v>
      </c>
      <c r="I51" s="704"/>
      <c r="M51" s="154"/>
    </row>
    <row r="52" spans="2:17" x14ac:dyDescent="0.25">
      <c r="B52" s="698" t="s">
        <v>59</v>
      </c>
      <c r="C52" s="699"/>
      <c r="D52" s="699"/>
      <c r="E52" s="699"/>
      <c r="F52" s="699"/>
      <c r="G52" s="699"/>
      <c r="H52" s="165" t="s">
        <v>522</v>
      </c>
      <c r="I52" s="166" t="s">
        <v>523</v>
      </c>
      <c r="J52" s="134"/>
      <c r="M52" s="154"/>
    </row>
    <row r="53" spans="2:17" x14ac:dyDescent="0.25">
      <c r="B53" s="696" t="s">
        <v>60</v>
      </c>
      <c r="C53" s="697"/>
      <c r="D53" s="694" t="s">
        <v>61</v>
      </c>
      <c r="E53" s="694"/>
      <c r="F53" s="694"/>
      <c r="G53" s="694"/>
      <c r="H53" s="167">
        <v>4.5100000000000001E-2</v>
      </c>
      <c r="I53" s="168">
        <v>0.06</v>
      </c>
      <c r="J53" s="134"/>
      <c r="K53" s="164"/>
      <c r="M53" s="174"/>
      <c r="N53" s="175"/>
      <c r="O53" s="176"/>
      <c r="P53" s="175"/>
      <c r="Q53" s="177"/>
    </row>
    <row r="54" spans="2:17" x14ac:dyDescent="0.25">
      <c r="B54" s="696" t="s">
        <v>62</v>
      </c>
      <c r="C54" s="697"/>
      <c r="D54" s="694" t="s">
        <v>532</v>
      </c>
      <c r="E54" s="694"/>
      <c r="F54" s="694"/>
      <c r="G54" s="694"/>
      <c r="H54" s="167">
        <v>0.01</v>
      </c>
      <c r="I54" s="168">
        <v>1.3299999999999999E-2</v>
      </c>
      <c r="J54" s="134"/>
      <c r="K54" s="164"/>
      <c r="M54" s="174"/>
      <c r="N54" s="175"/>
      <c r="O54" s="176"/>
      <c r="P54" s="175"/>
      <c r="Q54" s="177"/>
    </row>
    <row r="55" spans="2:17" x14ac:dyDescent="0.25">
      <c r="B55" s="696" t="s">
        <v>63</v>
      </c>
      <c r="C55" s="697"/>
      <c r="D55" s="694" t="s">
        <v>64</v>
      </c>
      <c r="E55" s="694"/>
      <c r="F55" s="694"/>
      <c r="G55" s="694"/>
      <c r="H55" s="167">
        <v>2.5000000000000001E-3</v>
      </c>
      <c r="I55" s="168">
        <v>3.3E-3</v>
      </c>
      <c r="J55" s="134"/>
      <c r="K55" s="164"/>
      <c r="M55" s="174"/>
      <c r="N55" s="175"/>
      <c r="O55" s="176"/>
      <c r="P55" s="175"/>
      <c r="Q55" s="177"/>
    </row>
    <row r="56" spans="2:17" x14ac:dyDescent="0.25">
      <c r="B56" s="696" t="s">
        <v>65</v>
      </c>
      <c r="C56" s="697"/>
      <c r="D56" s="694" t="s">
        <v>66</v>
      </c>
      <c r="E56" s="694"/>
      <c r="F56" s="694"/>
      <c r="G56" s="694"/>
      <c r="H56" s="167">
        <v>5.0000000000000001E-3</v>
      </c>
      <c r="I56" s="168">
        <v>6.7000000000000002E-3</v>
      </c>
      <c r="J56" s="134"/>
      <c r="K56" s="164"/>
      <c r="M56" s="174"/>
      <c r="N56" s="175"/>
      <c r="O56" s="176"/>
      <c r="P56" s="175"/>
      <c r="Q56" s="177"/>
    </row>
    <row r="57" spans="2:17" ht="13.5" x14ac:dyDescent="0.25">
      <c r="B57" s="696"/>
      <c r="C57" s="697"/>
      <c r="D57" s="695" t="s">
        <v>525</v>
      </c>
      <c r="E57" s="695"/>
      <c r="F57" s="695"/>
      <c r="G57" s="695"/>
      <c r="H57" s="169">
        <f>SUM(H53:H56)</f>
        <v>6.2600000000000003E-2</v>
      </c>
      <c r="I57" s="170">
        <f>SUM(I53:I56)</f>
        <v>8.3299999999999999E-2</v>
      </c>
      <c r="J57" s="134"/>
      <c r="K57" s="164"/>
      <c r="L57" s="178"/>
      <c r="M57" s="174"/>
      <c r="O57" s="179"/>
      <c r="P57" s="175"/>
    </row>
    <row r="58" spans="2:17" x14ac:dyDescent="0.25">
      <c r="B58" s="698" t="s">
        <v>67</v>
      </c>
      <c r="C58" s="699"/>
      <c r="D58" s="699"/>
      <c r="E58" s="699"/>
      <c r="F58" s="699"/>
      <c r="G58" s="699"/>
      <c r="H58" s="165" t="s">
        <v>522</v>
      </c>
      <c r="I58" s="166" t="s">
        <v>523</v>
      </c>
      <c r="J58" s="134"/>
      <c r="K58" s="164"/>
      <c r="L58" s="135"/>
      <c r="M58" s="154"/>
      <c r="O58" s="179"/>
    </row>
    <row r="59" spans="2:17" x14ac:dyDescent="0.25">
      <c r="B59" s="696" t="s">
        <v>68</v>
      </c>
      <c r="C59" s="697"/>
      <c r="D59" s="694" t="s">
        <v>61</v>
      </c>
      <c r="E59" s="694"/>
      <c r="F59" s="694"/>
      <c r="G59" s="694"/>
      <c r="H59" s="167">
        <v>7.51E-2</v>
      </c>
      <c r="I59" s="168">
        <v>0.1</v>
      </c>
      <c r="J59" s="134"/>
      <c r="K59" s="164"/>
      <c r="L59" s="135"/>
      <c r="M59" s="154"/>
      <c r="O59" s="179"/>
    </row>
    <row r="60" spans="2:17" ht="13.5" x14ac:dyDescent="0.25">
      <c r="B60" s="696"/>
      <c r="C60" s="697"/>
      <c r="D60" s="695" t="s">
        <v>526</v>
      </c>
      <c r="E60" s="695"/>
      <c r="F60" s="695"/>
      <c r="G60" s="695"/>
      <c r="H60" s="169">
        <f>SUM(H59)</f>
        <v>7.51E-2</v>
      </c>
      <c r="I60" s="170">
        <f>SUM(I59)</f>
        <v>0.1</v>
      </c>
      <c r="J60" s="134"/>
      <c r="K60" s="164"/>
      <c r="L60" s="135"/>
      <c r="M60" s="154"/>
      <c r="O60" s="179"/>
    </row>
    <row r="61" spans="2:17" x14ac:dyDescent="0.25">
      <c r="B61" s="698" t="s">
        <v>69</v>
      </c>
      <c r="C61" s="699"/>
      <c r="D61" s="699"/>
      <c r="E61" s="699"/>
      <c r="F61" s="699"/>
      <c r="G61" s="699"/>
      <c r="H61" s="165" t="s">
        <v>522</v>
      </c>
      <c r="I61" s="166" t="s">
        <v>523</v>
      </c>
      <c r="J61" s="134"/>
      <c r="K61" s="164"/>
      <c r="L61" s="135"/>
      <c r="M61" s="154"/>
      <c r="O61" s="179"/>
    </row>
    <row r="62" spans="2:17" x14ac:dyDescent="0.25">
      <c r="B62" s="692" t="s">
        <v>70</v>
      </c>
      <c r="C62" s="693"/>
      <c r="D62" s="694" t="s">
        <v>527</v>
      </c>
      <c r="E62" s="694"/>
      <c r="F62" s="694"/>
      <c r="G62" s="694"/>
      <c r="H62" s="167">
        <v>6.5000000000000006E-3</v>
      </c>
      <c r="I62" s="168">
        <v>8.6999999999999994E-3</v>
      </c>
      <c r="J62" s="134"/>
      <c r="K62" s="164"/>
      <c r="L62" s="180"/>
      <c r="M62" s="154"/>
      <c r="O62" s="179"/>
    </row>
    <row r="63" spans="2:17" x14ac:dyDescent="0.25">
      <c r="B63" s="692" t="s">
        <v>71</v>
      </c>
      <c r="C63" s="693"/>
      <c r="D63" s="694" t="s">
        <v>528</v>
      </c>
      <c r="E63" s="694"/>
      <c r="F63" s="694"/>
      <c r="G63" s="694"/>
      <c r="H63" s="167">
        <v>0.03</v>
      </c>
      <c r="I63" s="168">
        <v>0.04</v>
      </c>
      <c r="J63" s="134"/>
      <c r="K63" s="164"/>
      <c r="L63" s="180"/>
      <c r="M63" s="180"/>
      <c r="O63" s="179"/>
    </row>
    <row r="64" spans="2:17" x14ac:dyDescent="0.25">
      <c r="B64" s="692" t="s">
        <v>72</v>
      </c>
      <c r="C64" s="693"/>
      <c r="D64" s="694" t="s">
        <v>528</v>
      </c>
      <c r="E64" s="694"/>
      <c r="F64" s="694"/>
      <c r="G64" s="694"/>
      <c r="H64" s="171">
        <f>I28</f>
        <v>0.02</v>
      </c>
      <c r="I64" s="168">
        <f>(I57+I60+H66)/(1-H66)-I53-I54-I55-I56-I59-I62-I63-I65</f>
        <v>2.5072732331663884E-2</v>
      </c>
      <c r="J64" s="134"/>
      <c r="K64" s="164"/>
      <c r="L64" s="180"/>
      <c r="M64" s="180"/>
      <c r="O64" s="179"/>
    </row>
    <row r="65" spans="2:15" x14ac:dyDescent="0.25">
      <c r="B65" s="692" t="s">
        <v>533</v>
      </c>
      <c r="C65" s="693"/>
      <c r="D65" s="694" t="s">
        <v>534</v>
      </c>
      <c r="E65" s="694"/>
      <c r="F65" s="694"/>
      <c r="G65" s="694"/>
      <c r="H65" s="167">
        <v>4.4999999999999998E-2</v>
      </c>
      <c r="I65" s="168">
        <v>5.9900000000000002E-2</v>
      </c>
      <c r="J65" s="134"/>
      <c r="K65" s="164"/>
      <c r="L65" s="180"/>
      <c r="M65" s="180"/>
      <c r="O65" s="179"/>
    </row>
    <row r="66" spans="2:15" ht="13.5" x14ac:dyDescent="0.25">
      <c r="B66" s="692"/>
      <c r="C66" s="693"/>
      <c r="D66" s="695" t="s">
        <v>529</v>
      </c>
      <c r="E66" s="695"/>
      <c r="F66" s="695"/>
      <c r="G66" s="695"/>
      <c r="H66" s="169">
        <f>SUM(H62:H65)</f>
        <v>0.10149999999999999</v>
      </c>
      <c r="I66" s="170">
        <f>SUM(I62:I65)</f>
        <v>0.13367273233166388</v>
      </c>
      <c r="J66" s="134"/>
      <c r="K66" s="164"/>
      <c r="L66" s="180"/>
      <c r="M66" s="180"/>
      <c r="O66" s="135"/>
    </row>
    <row r="67" spans="2:15" x14ac:dyDescent="0.25">
      <c r="B67" s="687" t="s">
        <v>530</v>
      </c>
      <c r="C67" s="688"/>
      <c r="D67" s="688"/>
      <c r="E67" s="688"/>
      <c r="F67" s="688"/>
      <c r="G67" s="688"/>
      <c r="H67" s="172">
        <f>ROUND(H66+H60+H57,4)</f>
        <v>0.2392</v>
      </c>
      <c r="I67" s="173">
        <f>ROUND(I66+I60+I57,4)</f>
        <v>0.317</v>
      </c>
      <c r="J67" s="134"/>
      <c r="K67" s="164"/>
      <c r="L67" s="135"/>
      <c r="M67" s="154"/>
    </row>
    <row r="68" spans="2:15" x14ac:dyDescent="0.25">
      <c r="B68" s="181"/>
      <c r="C68" s="182"/>
      <c r="D68" s="182"/>
      <c r="E68" s="182"/>
      <c r="F68" s="182"/>
      <c r="G68" s="182"/>
      <c r="H68" s="182"/>
      <c r="I68" s="183"/>
      <c r="J68" s="134"/>
      <c r="K68" s="164"/>
      <c r="L68" s="135"/>
      <c r="M68" s="154"/>
    </row>
    <row r="69" spans="2:15" ht="13.5" thickBot="1" x14ac:dyDescent="0.3">
      <c r="B69" s="303"/>
      <c r="C69" s="304"/>
      <c r="D69" s="304"/>
      <c r="E69" s="304"/>
      <c r="F69" s="304"/>
      <c r="G69" s="307" t="s">
        <v>390</v>
      </c>
      <c r="H69" s="308">
        <v>0.21240000000000001</v>
      </c>
      <c r="I69" s="306"/>
      <c r="J69" s="134"/>
      <c r="K69" s="164"/>
      <c r="L69" s="135"/>
      <c r="M69" s="154"/>
    </row>
    <row r="70" spans="2:15" ht="13.5" thickTop="1" x14ac:dyDescent="0.25">
      <c r="B70" s="181"/>
      <c r="C70" s="182"/>
      <c r="D70" s="182"/>
      <c r="E70" s="182"/>
      <c r="F70" s="182"/>
      <c r="G70" s="182"/>
      <c r="H70" s="182"/>
      <c r="I70" s="183"/>
      <c r="J70" s="182"/>
      <c r="K70" s="182"/>
      <c r="L70" s="135"/>
      <c r="M70" s="154"/>
    </row>
    <row r="71" spans="2:15" x14ac:dyDescent="0.25">
      <c r="B71" s="689" t="s">
        <v>561</v>
      </c>
      <c r="C71" s="690"/>
      <c r="D71" s="690"/>
      <c r="E71" s="690"/>
      <c r="F71" s="690"/>
      <c r="G71" s="690"/>
      <c r="H71" s="690"/>
      <c r="I71" s="691"/>
      <c r="J71" s="134"/>
      <c r="K71" s="164"/>
      <c r="L71" s="135"/>
      <c r="M71" s="154"/>
    </row>
    <row r="72" spans="2:15" x14ac:dyDescent="0.25">
      <c r="B72" s="689"/>
      <c r="C72" s="690"/>
      <c r="D72" s="690"/>
      <c r="E72" s="690"/>
      <c r="F72" s="690"/>
      <c r="G72" s="690"/>
      <c r="H72" s="690"/>
      <c r="I72" s="691"/>
      <c r="J72" s="134"/>
      <c r="K72" s="164"/>
      <c r="L72" s="135"/>
      <c r="M72" s="154"/>
    </row>
    <row r="73" spans="2:15" x14ac:dyDescent="0.25">
      <c r="B73" s="184"/>
      <c r="C73" s="185"/>
      <c r="D73" s="185"/>
      <c r="E73" s="185"/>
      <c r="F73" s="185"/>
      <c r="G73" s="185"/>
      <c r="H73" s="185"/>
      <c r="I73" s="186"/>
      <c r="J73" s="134"/>
      <c r="K73" s="164"/>
      <c r="L73" s="135"/>
      <c r="M73" s="154"/>
    </row>
    <row r="74" spans="2:15" ht="13.5" thickBot="1" x14ac:dyDescent="0.3">
      <c r="B74" s="187"/>
      <c r="C74" s="188"/>
      <c r="D74" s="189"/>
      <c r="E74" s="189"/>
      <c r="F74" s="189"/>
      <c r="G74" s="189"/>
      <c r="H74" s="189"/>
      <c r="I74" s="190"/>
      <c r="J74" s="134"/>
      <c r="K74" s="164"/>
      <c r="L74" s="135"/>
      <c r="M74" s="154"/>
    </row>
    <row r="75" spans="2:15" ht="13.5" thickTop="1" x14ac:dyDescent="0.25">
      <c r="B75" s="179"/>
      <c r="C75" s="179"/>
      <c r="D75" s="179"/>
      <c r="E75" s="179"/>
      <c r="F75" s="179"/>
      <c r="G75" s="179"/>
      <c r="H75" s="179"/>
      <c r="I75" s="179"/>
      <c r="J75" s="134"/>
      <c r="K75" s="164"/>
      <c r="L75" s="135"/>
      <c r="M75" s="154"/>
    </row>
    <row r="76" spans="2:15" x14ac:dyDescent="0.25">
      <c r="H76" s="134"/>
      <c r="I76" s="134"/>
      <c r="J76" s="134"/>
      <c r="K76" s="164"/>
      <c r="L76" s="135"/>
      <c r="M76" s="154"/>
    </row>
    <row r="77" spans="2:15" x14ac:dyDescent="0.25">
      <c r="B77" s="134"/>
      <c r="C77" s="134"/>
      <c r="D77" s="134"/>
      <c r="E77" s="134"/>
      <c r="F77" s="134"/>
      <c r="G77" s="134"/>
      <c r="H77" s="134"/>
      <c r="I77" s="134"/>
      <c r="J77" s="134"/>
      <c r="K77" s="164"/>
      <c r="L77" s="135"/>
      <c r="M77" s="154"/>
    </row>
    <row r="78" spans="2:15" x14ac:dyDescent="0.25">
      <c r="B78" s="134"/>
      <c r="C78" s="134"/>
      <c r="D78" s="134"/>
      <c r="E78" s="134"/>
      <c r="F78" s="134"/>
      <c r="G78" s="134"/>
      <c r="H78" s="134"/>
      <c r="I78" s="134"/>
      <c r="J78" s="134"/>
      <c r="K78" s="164"/>
      <c r="L78" s="135"/>
      <c r="M78" s="154"/>
    </row>
    <row r="79" spans="2:15" x14ac:dyDescent="0.25">
      <c r="B79" s="134"/>
      <c r="C79" s="134"/>
      <c r="D79" s="134"/>
      <c r="E79" s="134"/>
      <c r="F79" s="134"/>
      <c r="G79" s="134"/>
      <c r="H79" s="134"/>
      <c r="I79" s="134"/>
      <c r="J79" s="134"/>
      <c r="K79" s="164"/>
      <c r="L79" s="135"/>
      <c r="M79" s="154"/>
    </row>
    <row r="80" spans="2:15" x14ac:dyDescent="0.25">
      <c r="B80" s="134"/>
      <c r="C80" s="134"/>
      <c r="D80" s="134"/>
      <c r="E80" s="134"/>
      <c r="F80" s="134"/>
      <c r="G80" s="134"/>
      <c r="H80" s="134"/>
      <c r="I80" s="134"/>
      <c r="J80" s="134"/>
      <c r="K80" s="164"/>
      <c r="L80" s="135"/>
      <c r="M80" s="154"/>
    </row>
    <row r="81" spans="2:13" x14ac:dyDescent="0.25">
      <c r="B81" s="134"/>
      <c r="C81" s="134"/>
      <c r="D81" s="134"/>
      <c r="E81" s="134"/>
      <c r="F81" s="134"/>
      <c r="G81" s="134"/>
      <c r="H81" s="134"/>
      <c r="I81" s="134"/>
      <c r="J81" s="134"/>
      <c r="K81" s="164"/>
      <c r="L81" s="135"/>
      <c r="M81" s="154"/>
    </row>
    <row r="82" spans="2:13" x14ac:dyDescent="0.25">
      <c r="B82" s="134"/>
      <c r="C82" s="134"/>
      <c r="D82" s="134"/>
      <c r="E82" s="134"/>
      <c r="F82" s="134"/>
      <c r="G82" s="134"/>
      <c r="H82" s="134"/>
      <c r="I82" s="134"/>
      <c r="J82" s="134"/>
      <c r="K82" s="164"/>
      <c r="L82" s="135"/>
      <c r="M82" s="154"/>
    </row>
    <row r="83" spans="2:13" x14ac:dyDescent="0.25">
      <c r="B83" s="134"/>
      <c r="C83" s="134"/>
      <c r="D83" s="134"/>
      <c r="E83" s="134"/>
      <c r="F83" s="134"/>
      <c r="G83" s="134"/>
      <c r="H83" s="134"/>
      <c r="I83" s="134"/>
      <c r="J83" s="134"/>
      <c r="K83" s="164"/>
      <c r="L83" s="135"/>
      <c r="M83" s="154"/>
    </row>
    <row r="84" spans="2:13" x14ac:dyDescent="0.25">
      <c r="B84" s="134"/>
      <c r="C84" s="134"/>
      <c r="D84" s="134"/>
      <c r="E84" s="134"/>
      <c r="F84" s="134"/>
      <c r="G84" s="134"/>
      <c r="H84" s="134"/>
      <c r="I84" s="134"/>
      <c r="J84" s="134"/>
      <c r="K84" s="164"/>
      <c r="L84" s="135"/>
      <c r="M84" s="154"/>
    </row>
    <row r="85" spans="2:13" x14ac:dyDescent="0.25">
      <c r="B85" s="134"/>
      <c r="C85" s="134"/>
      <c r="D85" s="134"/>
      <c r="E85" s="134"/>
      <c r="F85" s="134"/>
      <c r="G85" s="134"/>
      <c r="H85" s="134"/>
      <c r="I85" s="134"/>
      <c r="J85" s="134"/>
      <c r="K85" s="164"/>
      <c r="L85" s="135"/>
      <c r="M85" s="154"/>
    </row>
    <row r="86" spans="2:13" x14ac:dyDescent="0.25">
      <c r="B86" s="134"/>
      <c r="C86" s="134"/>
      <c r="D86" s="134"/>
      <c r="E86" s="134"/>
      <c r="F86" s="134"/>
      <c r="G86" s="134"/>
      <c r="H86" s="134"/>
      <c r="I86" s="134"/>
      <c r="J86" s="134"/>
      <c r="K86" s="164"/>
      <c r="L86" s="135"/>
      <c r="M86" s="154"/>
    </row>
    <row r="87" spans="2:13" x14ac:dyDescent="0.25">
      <c r="B87" s="134"/>
      <c r="C87" s="134"/>
      <c r="D87" s="134"/>
      <c r="E87" s="134"/>
      <c r="F87" s="134"/>
      <c r="G87" s="134"/>
      <c r="H87" s="134"/>
      <c r="I87" s="134"/>
      <c r="J87" s="134"/>
      <c r="K87" s="164"/>
      <c r="L87" s="135"/>
      <c r="M87" s="154"/>
    </row>
    <row r="88" spans="2:13" x14ac:dyDescent="0.25">
      <c r="B88" s="134"/>
      <c r="C88" s="134"/>
      <c r="D88" s="134"/>
      <c r="E88" s="134"/>
      <c r="F88" s="134"/>
      <c r="G88" s="134"/>
      <c r="H88" s="134"/>
      <c r="I88" s="134"/>
      <c r="J88" s="134"/>
      <c r="K88" s="164"/>
      <c r="L88" s="135"/>
      <c r="M88" s="154"/>
    </row>
    <row r="89" spans="2:13" x14ac:dyDescent="0.25">
      <c r="B89" s="134"/>
      <c r="C89" s="134"/>
      <c r="D89" s="134"/>
      <c r="E89" s="134"/>
      <c r="F89" s="134"/>
      <c r="G89" s="134"/>
      <c r="H89" s="134"/>
      <c r="I89" s="134"/>
      <c r="J89" s="134"/>
      <c r="K89" s="164"/>
      <c r="L89" s="135"/>
      <c r="M89" s="154"/>
    </row>
    <row r="90" spans="2:13" x14ac:dyDescent="0.25">
      <c r="B90" s="134"/>
      <c r="C90" s="134"/>
      <c r="D90" s="134"/>
      <c r="E90" s="134"/>
      <c r="F90" s="134"/>
      <c r="G90" s="134"/>
      <c r="H90" s="134"/>
      <c r="I90" s="134"/>
      <c r="J90" s="134"/>
      <c r="K90" s="164"/>
      <c r="L90" s="135"/>
      <c r="M90" s="154"/>
    </row>
    <row r="91" spans="2:13" x14ac:dyDescent="0.25">
      <c r="B91" s="134"/>
      <c r="C91" s="134"/>
      <c r="D91" s="134"/>
      <c r="E91" s="134"/>
      <c r="F91" s="134"/>
      <c r="G91" s="134"/>
      <c r="H91" s="134"/>
      <c r="I91" s="134"/>
      <c r="J91" s="134"/>
      <c r="K91" s="164"/>
      <c r="L91" s="135"/>
      <c r="M91" s="154"/>
    </row>
    <row r="92" spans="2:13" x14ac:dyDescent="0.25">
      <c r="B92" s="134"/>
      <c r="C92" s="134"/>
      <c r="D92" s="134"/>
      <c r="E92" s="134"/>
      <c r="F92" s="134"/>
      <c r="G92" s="134"/>
      <c r="H92" s="134"/>
      <c r="I92" s="134"/>
      <c r="J92" s="134"/>
      <c r="K92" s="164"/>
      <c r="L92" s="135"/>
      <c r="M92" s="154"/>
    </row>
    <row r="93" spans="2:13" x14ac:dyDescent="0.25">
      <c r="B93" s="134"/>
      <c r="C93" s="134"/>
      <c r="D93" s="134"/>
      <c r="E93" s="134"/>
      <c r="F93" s="134"/>
      <c r="G93" s="134"/>
      <c r="H93" s="134"/>
      <c r="I93" s="134"/>
      <c r="J93" s="134"/>
      <c r="K93" s="164"/>
      <c r="L93" s="135"/>
      <c r="M93" s="154"/>
    </row>
    <row r="94" spans="2:13" x14ac:dyDescent="0.25">
      <c r="B94" s="134"/>
      <c r="C94" s="134"/>
      <c r="D94" s="134"/>
      <c r="E94" s="134"/>
      <c r="F94" s="134"/>
      <c r="G94" s="134"/>
      <c r="H94" s="134"/>
      <c r="I94" s="134"/>
      <c r="J94" s="134"/>
      <c r="K94" s="164"/>
      <c r="L94" s="135"/>
      <c r="M94" s="154"/>
    </row>
    <row r="95" spans="2:13" x14ac:dyDescent="0.25">
      <c r="B95" s="134"/>
      <c r="C95" s="134"/>
      <c r="D95" s="134"/>
      <c r="E95" s="134"/>
      <c r="F95" s="134"/>
      <c r="G95" s="134"/>
      <c r="H95" s="134"/>
      <c r="I95" s="134"/>
      <c r="J95" s="134"/>
      <c r="K95" s="164"/>
      <c r="L95" s="135"/>
      <c r="M95" s="154"/>
    </row>
    <row r="96" spans="2:13" x14ac:dyDescent="0.25">
      <c r="B96" s="134"/>
      <c r="C96" s="134"/>
      <c r="D96" s="134"/>
      <c r="E96" s="134"/>
      <c r="F96" s="134"/>
      <c r="G96" s="134"/>
      <c r="H96" s="134"/>
      <c r="I96" s="134"/>
      <c r="J96" s="134"/>
      <c r="K96" s="164"/>
      <c r="L96" s="135"/>
      <c r="M96" s="154"/>
    </row>
    <row r="97" spans="2:13" x14ac:dyDescent="0.25">
      <c r="B97" s="134"/>
      <c r="C97" s="134"/>
      <c r="D97" s="134"/>
      <c r="E97" s="134"/>
      <c r="F97" s="134"/>
      <c r="G97" s="134"/>
      <c r="H97" s="134"/>
      <c r="I97" s="134"/>
      <c r="J97" s="134"/>
      <c r="K97" s="164"/>
      <c r="L97" s="135"/>
      <c r="M97" s="154"/>
    </row>
    <row r="98" spans="2:13" x14ac:dyDescent="0.25">
      <c r="B98" s="134"/>
      <c r="C98" s="134"/>
      <c r="D98" s="134"/>
      <c r="E98" s="134"/>
      <c r="F98" s="134"/>
      <c r="G98" s="134"/>
      <c r="H98" s="134"/>
      <c r="I98" s="134"/>
      <c r="J98" s="134"/>
      <c r="K98" s="164"/>
      <c r="L98" s="135"/>
      <c r="M98" s="154"/>
    </row>
    <row r="99" spans="2:13" x14ac:dyDescent="0.25">
      <c r="B99" s="134"/>
      <c r="C99" s="134"/>
      <c r="D99" s="134"/>
      <c r="E99" s="134"/>
      <c r="F99" s="134"/>
      <c r="G99" s="134"/>
      <c r="H99" s="134"/>
      <c r="I99" s="134"/>
      <c r="J99" s="134"/>
      <c r="K99" s="164"/>
      <c r="L99" s="135"/>
      <c r="M99" s="154"/>
    </row>
    <row r="100" spans="2:13" x14ac:dyDescent="0.25">
      <c r="B100" s="134"/>
      <c r="C100" s="134"/>
      <c r="D100" s="134"/>
      <c r="E100" s="134"/>
      <c r="F100" s="134"/>
      <c r="G100" s="134"/>
      <c r="H100" s="134"/>
      <c r="I100" s="134"/>
      <c r="J100" s="134"/>
      <c r="K100" s="164"/>
      <c r="L100" s="135"/>
      <c r="M100" s="154"/>
    </row>
    <row r="101" spans="2:13" x14ac:dyDescent="0.25">
      <c r="B101" s="134"/>
      <c r="C101" s="134"/>
      <c r="D101" s="134"/>
      <c r="E101" s="134"/>
      <c r="F101" s="134"/>
      <c r="G101" s="134"/>
      <c r="H101" s="134"/>
      <c r="I101" s="134"/>
      <c r="J101" s="134"/>
      <c r="K101" s="164"/>
      <c r="L101" s="135"/>
      <c r="M101" s="154"/>
    </row>
    <row r="102" spans="2:13" x14ac:dyDescent="0.25">
      <c r="B102" s="134"/>
      <c r="C102" s="134"/>
      <c r="D102" s="134"/>
      <c r="E102" s="134"/>
      <c r="F102" s="134"/>
      <c r="G102" s="134"/>
      <c r="H102" s="134"/>
      <c r="I102" s="134"/>
      <c r="J102" s="134"/>
      <c r="K102" s="164"/>
      <c r="L102" s="135"/>
      <c r="M102" s="154"/>
    </row>
    <row r="103" spans="2:13" x14ac:dyDescent="0.25">
      <c r="B103" s="134"/>
      <c r="C103" s="134"/>
      <c r="D103" s="134"/>
      <c r="E103" s="134"/>
      <c r="F103" s="134"/>
      <c r="G103" s="134"/>
      <c r="H103" s="134"/>
      <c r="I103" s="134"/>
      <c r="J103" s="134"/>
      <c r="K103" s="164"/>
      <c r="L103" s="135"/>
      <c r="M103" s="154"/>
    </row>
    <row r="104" spans="2:13" x14ac:dyDescent="0.25">
      <c r="B104" s="134"/>
      <c r="C104" s="134"/>
      <c r="D104" s="134"/>
      <c r="E104" s="134"/>
      <c r="F104" s="134"/>
      <c r="G104" s="134"/>
      <c r="H104" s="134"/>
      <c r="I104" s="134"/>
      <c r="J104" s="134"/>
      <c r="K104" s="164"/>
      <c r="L104" s="135"/>
      <c r="M104" s="154"/>
    </row>
    <row r="105" spans="2:13" x14ac:dyDescent="0.25">
      <c r="B105" s="134"/>
      <c r="C105" s="134"/>
      <c r="D105" s="134"/>
      <c r="E105" s="134"/>
      <c r="F105" s="134"/>
      <c r="G105" s="134"/>
      <c r="H105" s="134"/>
      <c r="I105" s="134"/>
      <c r="J105" s="134"/>
      <c r="K105" s="164"/>
      <c r="L105" s="135"/>
      <c r="M105" s="154"/>
    </row>
    <row r="106" spans="2:13" x14ac:dyDescent="0.25">
      <c r="B106" s="134"/>
      <c r="C106" s="134"/>
      <c r="D106" s="134"/>
      <c r="E106" s="134"/>
      <c r="F106" s="134"/>
      <c r="G106" s="134"/>
      <c r="H106" s="134"/>
      <c r="I106" s="134"/>
      <c r="J106" s="134"/>
      <c r="K106" s="164"/>
      <c r="L106" s="135"/>
      <c r="M106" s="154"/>
    </row>
    <row r="107" spans="2:13" x14ac:dyDescent="0.25">
      <c r="B107" s="134"/>
      <c r="C107" s="134"/>
      <c r="D107" s="134"/>
      <c r="E107" s="134"/>
      <c r="F107" s="134"/>
      <c r="G107" s="134"/>
      <c r="H107" s="134"/>
      <c r="I107" s="134"/>
      <c r="J107" s="134"/>
      <c r="K107" s="164"/>
      <c r="L107" s="135"/>
      <c r="M107" s="154"/>
    </row>
    <row r="108" spans="2:13" x14ac:dyDescent="0.25">
      <c r="B108" s="134"/>
      <c r="C108" s="134"/>
      <c r="D108" s="134"/>
      <c r="E108" s="134"/>
      <c r="F108" s="134"/>
      <c r="G108" s="134"/>
      <c r="H108" s="134"/>
      <c r="I108" s="134"/>
      <c r="J108" s="134"/>
      <c r="K108" s="164"/>
      <c r="L108" s="135"/>
      <c r="M108" s="154"/>
    </row>
    <row r="109" spans="2:13" x14ac:dyDescent="0.25">
      <c r="B109" s="134"/>
      <c r="C109" s="134"/>
      <c r="D109" s="134"/>
      <c r="E109" s="134"/>
      <c r="F109" s="134"/>
      <c r="G109" s="134"/>
      <c r="H109" s="134"/>
      <c r="I109" s="134"/>
      <c r="J109" s="134"/>
      <c r="K109" s="164"/>
      <c r="L109" s="135"/>
      <c r="M109" s="154"/>
    </row>
    <row r="110" spans="2:13" x14ac:dyDescent="0.25">
      <c r="B110" s="134"/>
      <c r="C110" s="134"/>
      <c r="D110" s="134"/>
      <c r="E110" s="134"/>
      <c r="F110" s="134"/>
      <c r="G110" s="134"/>
      <c r="H110" s="134"/>
      <c r="I110" s="134"/>
      <c r="J110" s="134"/>
      <c r="K110" s="164"/>
      <c r="L110" s="135"/>
      <c r="M110" s="154"/>
    </row>
    <row r="111" spans="2:13" x14ac:dyDescent="0.25">
      <c r="B111" s="134"/>
      <c r="C111" s="134"/>
      <c r="D111" s="134"/>
      <c r="E111" s="134"/>
      <c r="F111" s="134"/>
      <c r="G111" s="134"/>
      <c r="H111" s="134"/>
      <c r="I111" s="134"/>
      <c r="J111" s="134"/>
      <c r="K111" s="164"/>
      <c r="L111" s="135"/>
      <c r="M111" s="154"/>
    </row>
    <row r="112" spans="2:13" x14ac:dyDescent="0.25">
      <c r="B112" s="134"/>
      <c r="C112" s="134"/>
      <c r="D112" s="134"/>
      <c r="E112" s="134"/>
      <c r="F112" s="134"/>
      <c r="G112" s="134"/>
      <c r="H112" s="134"/>
      <c r="I112" s="134"/>
      <c r="J112" s="134"/>
      <c r="K112" s="164"/>
      <c r="L112" s="135"/>
      <c r="M112" s="154"/>
    </row>
    <row r="113" spans="2:13" x14ac:dyDescent="0.25">
      <c r="B113" s="134"/>
      <c r="C113" s="134"/>
      <c r="D113" s="134"/>
      <c r="E113" s="134"/>
      <c r="F113" s="134"/>
      <c r="G113" s="134"/>
      <c r="H113" s="134"/>
      <c r="I113" s="134"/>
      <c r="J113" s="134"/>
      <c r="K113" s="164"/>
      <c r="L113" s="135"/>
      <c r="M113" s="154"/>
    </row>
    <row r="114" spans="2:13" x14ac:dyDescent="0.25">
      <c r="B114" s="134"/>
      <c r="C114" s="134"/>
      <c r="D114" s="134"/>
      <c r="E114" s="134"/>
      <c r="F114" s="134"/>
      <c r="G114" s="134"/>
      <c r="H114" s="134"/>
      <c r="I114" s="134"/>
      <c r="J114" s="134"/>
    </row>
    <row r="115" spans="2:13" x14ac:dyDescent="0.25">
      <c r="B115" s="134"/>
      <c r="C115" s="134"/>
      <c r="D115" s="134"/>
      <c r="E115" s="134"/>
      <c r="F115" s="134"/>
      <c r="G115" s="134"/>
      <c r="H115" s="134"/>
      <c r="I115" s="134"/>
      <c r="J115" s="134"/>
    </row>
    <row r="116" spans="2:13" x14ac:dyDescent="0.25">
      <c r="B116" s="134"/>
      <c r="C116" s="134"/>
      <c r="D116" s="134"/>
      <c r="E116" s="134"/>
      <c r="F116" s="134"/>
      <c r="G116" s="134"/>
      <c r="H116" s="134"/>
      <c r="I116" s="134"/>
      <c r="J116" s="134"/>
    </row>
    <row r="117" spans="2:13" x14ac:dyDescent="0.25">
      <c r="B117" s="134"/>
      <c r="C117" s="134"/>
      <c r="D117" s="134"/>
      <c r="E117" s="134"/>
      <c r="F117" s="134"/>
      <c r="G117" s="134"/>
      <c r="H117" s="134"/>
      <c r="I117" s="134"/>
      <c r="J117" s="134"/>
    </row>
    <row r="118" spans="2:13" x14ac:dyDescent="0.25">
      <c r="B118" s="134"/>
      <c r="C118" s="134"/>
      <c r="D118" s="134"/>
      <c r="E118" s="134"/>
      <c r="F118" s="134"/>
      <c r="G118" s="134"/>
      <c r="H118" s="134"/>
      <c r="I118" s="134"/>
      <c r="J118" s="134"/>
    </row>
    <row r="119" spans="2:13" x14ac:dyDescent="0.25">
      <c r="B119" s="134"/>
      <c r="C119" s="134"/>
      <c r="D119" s="134"/>
      <c r="E119" s="134"/>
      <c r="F119" s="134"/>
      <c r="G119" s="134"/>
      <c r="H119" s="134"/>
      <c r="I119" s="134"/>
      <c r="J119" s="134"/>
    </row>
    <row r="120" spans="2:13" x14ac:dyDescent="0.25">
      <c r="B120" s="134"/>
      <c r="C120" s="134"/>
      <c r="D120" s="134"/>
      <c r="E120" s="134"/>
      <c r="F120" s="134"/>
      <c r="G120" s="134"/>
      <c r="H120" s="134"/>
      <c r="I120" s="134"/>
      <c r="J120" s="134"/>
    </row>
    <row r="121" spans="2:13" x14ac:dyDescent="0.25">
      <c r="B121" s="134"/>
      <c r="C121" s="134"/>
      <c r="D121" s="134"/>
      <c r="E121" s="134"/>
      <c r="F121" s="134"/>
      <c r="G121" s="134"/>
      <c r="H121" s="134"/>
      <c r="I121" s="134"/>
      <c r="J121" s="134"/>
    </row>
    <row r="122" spans="2:13" x14ac:dyDescent="0.25">
      <c r="B122" s="134"/>
      <c r="C122" s="134"/>
      <c r="D122" s="134"/>
      <c r="E122" s="134"/>
      <c r="F122" s="134"/>
      <c r="G122" s="134"/>
      <c r="H122" s="134"/>
      <c r="I122" s="134"/>
      <c r="J122" s="134"/>
    </row>
    <row r="123" spans="2:13" x14ac:dyDescent="0.25">
      <c r="B123" s="134"/>
      <c r="C123" s="134"/>
      <c r="D123" s="134"/>
      <c r="E123" s="134"/>
      <c r="F123" s="134"/>
      <c r="G123" s="134"/>
      <c r="H123" s="134"/>
      <c r="I123" s="134"/>
      <c r="J123" s="134"/>
    </row>
    <row r="124" spans="2:13" x14ac:dyDescent="0.25">
      <c r="B124" s="134"/>
      <c r="C124" s="134"/>
      <c r="D124" s="134"/>
      <c r="E124" s="134"/>
      <c r="F124" s="134"/>
      <c r="G124" s="134"/>
      <c r="H124" s="134"/>
      <c r="I124" s="134"/>
      <c r="J124" s="134"/>
    </row>
    <row r="125" spans="2:13" x14ac:dyDescent="0.25">
      <c r="B125" s="134"/>
      <c r="C125" s="134"/>
      <c r="D125" s="134"/>
      <c r="E125" s="134"/>
      <c r="F125" s="134"/>
      <c r="G125" s="134"/>
      <c r="H125" s="134"/>
      <c r="I125" s="134"/>
      <c r="J125" s="134"/>
    </row>
    <row r="126" spans="2:13" x14ac:dyDescent="0.25">
      <c r="B126" s="134"/>
      <c r="C126" s="134"/>
      <c r="D126" s="134"/>
      <c r="E126" s="134"/>
      <c r="F126" s="134"/>
      <c r="G126" s="134"/>
      <c r="H126" s="134"/>
      <c r="I126" s="134"/>
      <c r="J126" s="134"/>
    </row>
    <row r="127" spans="2:13" x14ac:dyDescent="0.25">
      <c r="B127" s="134"/>
      <c r="C127" s="134"/>
      <c r="D127" s="134"/>
      <c r="E127" s="134"/>
      <c r="F127" s="134"/>
      <c r="G127" s="134"/>
      <c r="H127" s="134"/>
      <c r="I127" s="134"/>
      <c r="J127" s="134"/>
    </row>
    <row r="128" spans="2:13" x14ac:dyDescent="0.25">
      <c r="B128" s="134"/>
      <c r="C128" s="134"/>
      <c r="D128" s="134"/>
      <c r="E128" s="134"/>
      <c r="F128" s="134"/>
      <c r="G128" s="134"/>
      <c r="H128" s="134"/>
      <c r="I128" s="134"/>
      <c r="J128" s="134"/>
    </row>
    <row r="129" s="134" customFormat="1" x14ac:dyDescent="0.25"/>
    <row r="130" s="134" customFormat="1" x14ac:dyDescent="0.25"/>
    <row r="131" s="134" customFormat="1" x14ac:dyDescent="0.25"/>
    <row r="132" s="134" customFormat="1" x14ac:dyDescent="0.25"/>
    <row r="133" s="134" customFormat="1" x14ac:dyDescent="0.25"/>
    <row r="134" s="134" customFormat="1" x14ac:dyDescent="0.25"/>
    <row r="135" s="134" customFormat="1" x14ac:dyDescent="0.25"/>
    <row r="136" s="134" customFormat="1" x14ac:dyDescent="0.25"/>
    <row r="137" s="134" customFormat="1" x14ac:dyDescent="0.25"/>
    <row r="138" s="134" customFormat="1" x14ac:dyDescent="0.25"/>
    <row r="139" s="134" customFormat="1" x14ac:dyDescent="0.25"/>
    <row r="140" s="134" customFormat="1" x14ac:dyDescent="0.25"/>
    <row r="141" s="134" customFormat="1" x14ac:dyDescent="0.25"/>
    <row r="142" s="134" customFormat="1" x14ac:dyDescent="0.25"/>
    <row r="143" s="134" customFormat="1" x14ac:dyDescent="0.25"/>
    <row r="144" s="134" customFormat="1" x14ac:dyDescent="0.25"/>
    <row r="145" s="134" customFormat="1" x14ac:dyDescent="0.25"/>
    <row r="146" s="134" customFormat="1" x14ac:dyDescent="0.25"/>
    <row r="147" s="134" customFormat="1" x14ac:dyDescent="0.25"/>
    <row r="148" s="134" customFormat="1" x14ac:dyDescent="0.25"/>
    <row r="149" s="134" customFormat="1" x14ac:dyDescent="0.25"/>
    <row r="150" s="134" customFormat="1" x14ac:dyDescent="0.25"/>
    <row r="151" s="134" customFormat="1" x14ac:dyDescent="0.25"/>
    <row r="152" s="134" customFormat="1" x14ac:dyDescent="0.25"/>
    <row r="153" s="134" customFormat="1" x14ac:dyDescent="0.25"/>
    <row r="154" s="134" customFormat="1" x14ac:dyDescent="0.25"/>
    <row r="155" s="134" customFormat="1" x14ac:dyDescent="0.25"/>
    <row r="156" s="134" customFormat="1" x14ac:dyDescent="0.25"/>
    <row r="157" s="134" customFormat="1" x14ac:dyDescent="0.25"/>
    <row r="158" s="134" customFormat="1" x14ac:dyDescent="0.25"/>
    <row r="159" s="134" customFormat="1" x14ac:dyDescent="0.25"/>
    <row r="160" s="134" customFormat="1" x14ac:dyDescent="0.25"/>
    <row r="161" s="134" customFormat="1" x14ac:dyDescent="0.25"/>
    <row r="162" s="134" customFormat="1" x14ac:dyDescent="0.25"/>
    <row r="163" s="134" customFormat="1" x14ac:dyDescent="0.25"/>
    <row r="164" s="134" customFormat="1" x14ac:dyDescent="0.25"/>
    <row r="165" s="134" customFormat="1" x14ac:dyDescent="0.25"/>
    <row r="166" s="134" customFormat="1" x14ac:dyDescent="0.25"/>
    <row r="167" s="134" customFormat="1" x14ac:dyDescent="0.25"/>
    <row r="168" s="134" customFormat="1" x14ac:dyDescent="0.25"/>
    <row r="169" s="134" customFormat="1" x14ac:dyDescent="0.25"/>
    <row r="170" s="134" customFormat="1" x14ac:dyDescent="0.25"/>
    <row r="171" s="134" customFormat="1" x14ac:dyDescent="0.25"/>
    <row r="172" s="134" customFormat="1" x14ac:dyDescent="0.25"/>
    <row r="173" s="134" customFormat="1" x14ac:dyDescent="0.25"/>
    <row r="174" s="134" customFormat="1" x14ac:dyDescent="0.25"/>
    <row r="175" s="134" customFormat="1" x14ac:dyDescent="0.25"/>
    <row r="176" s="134" customFormat="1" x14ac:dyDescent="0.25"/>
    <row r="177" s="134" customFormat="1" x14ac:dyDescent="0.25"/>
  </sheetData>
  <mergeCells count="65">
    <mergeCell ref="B5:I5"/>
    <mergeCell ref="B28:H28"/>
    <mergeCell ref="B2:F2"/>
    <mergeCell ref="B3:F3"/>
    <mergeCell ref="B30:I30"/>
    <mergeCell ref="B31:G31"/>
    <mergeCell ref="H31:I31"/>
    <mergeCell ref="B32:G32"/>
    <mergeCell ref="B33:C33"/>
    <mergeCell ref="D33:G33"/>
    <mergeCell ref="B34:C34"/>
    <mergeCell ref="D34:G34"/>
    <mergeCell ref="B35:C35"/>
    <mergeCell ref="D35:G35"/>
    <mergeCell ref="B36:C36"/>
    <mergeCell ref="D36:G36"/>
    <mergeCell ref="B44:C44"/>
    <mergeCell ref="D44:G44"/>
    <mergeCell ref="B37:C37"/>
    <mergeCell ref="D37:G37"/>
    <mergeCell ref="B38:G38"/>
    <mergeCell ref="B39:C39"/>
    <mergeCell ref="D39:G39"/>
    <mergeCell ref="B40:C40"/>
    <mergeCell ref="D40:G40"/>
    <mergeCell ref="B41:G41"/>
    <mergeCell ref="B42:C42"/>
    <mergeCell ref="D42:G42"/>
    <mergeCell ref="B43:C43"/>
    <mergeCell ref="D43:G43"/>
    <mergeCell ref="B55:C55"/>
    <mergeCell ref="D55:G55"/>
    <mergeCell ref="B45:C45"/>
    <mergeCell ref="D45:G45"/>
    <mergeCell ref="B46:G46"/>
    <mergeCell ref="B50:I50"/>
    <mergeCell ref="B51:G51"/>
    <mergeCell ref="H51:I51"/>
    <mergeCell ref="B52:G52"/>
    <mergeCell ref="B53:C53"/>
    <mergeCell ref="D53:G53"/>
    <mergeCell ref="B54:C54"/>
    <mergeCell ref="D54:G54"/>
    <mergeCell ref="B63:C63"/>
    <mergeCell ref="D63:G63"/>
    <mergeCell ref="B56:C56"/>
    <mergeCell ref="D56:G56"/>
    <mergeCell ref="B57:C57"/>
    <mergeCell ref="D57:G57"/>
    <mergeCell ref="B58:G58"/>
    <mergeCell ref="B59:C59"/>
    <mergeCell ref="D59:G59"/>
    <mergeCell ref="B60:C60"/>
    <mergeCell ref="D60:G60"/>
    <mergeCell ref="B61:G61"/>
    <mergeCell ref="B62:C62"/>
    <mergeCell ref="D62:G62"/>
    <mergeCell ref="B67:G67"/>
    <mergeCell ref="B71:I72"/>
    <mergeCell ref="B64:C64"/>
    <mergeCell ref="D64:G64"/>
    <mergeCell ref="B65:C65"/>
    <mergeCell ref="D65:G65"/>
    <mergeCell ref="B66:C66"/>
    <mergeCell ref="D66:G66"/>
  </mergeCells>
  <printOptions horizontalCentered="1"/>
  <pageMargins left="0.59055118110236227" right="0.19685039370078741" top="0.39370078740157483" bottom="0.98425196850393704" header="0" footer="0"/>
  <pageSetup paperSize="9" scale="76" firstPageNumber="0" fitToHeight="0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5"/>
  <sheetViews>
    <sheetView view="pageBreakPreview" zoomScaleNormal="100" zoomScaleSheetLayoutView="100" workbookViewId="0">
      <pane ySplit="5" topLeftCell="A16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.7109375" style="30" customWidth="1"/>
    <col min="2" max="2" width="24.5703125" style="30" bestFit="1" customWidth="1"/>
    <col min="3" max="4" width="12.28515625" style="30" customWidth="1"/>
    <col min="5" max="5" width="19.5703125" style="30" customWidth="1"/>
    <col min="6" max="6" width="22.42578125" style="30" customWidth="1"/>
    <col min="7" max="7" width="1.7109375" style="30" customWidth="1"/>
    <col min="8" max="8" width="12.28515625" style="30" customWidth="1"/>
    <col min="9" max="16384" width="9.140625" style="30"/>
  </cols>
  <sheetData>
    <row r="1" spans="2:6" ht="5.0999999999999996" customHeight="1" x14ac:dyDescent="0.25"/>
    <row r="2" spans="2:6" x14ac:dyDescent="0.25">
      <c r="B2" s="833" t="s">
        <v>397</v>
      </c>
      <c r="C2" s="834"/>
      <c r="D2" s="834"/>
      <c r="E2" s="834"/>
      <c r="F2" s="835"/>
    </row>
    <row r="3" spans="2:6" x14ac:dyDescent="0.25">
      <c r="B3" s="833" t="str">
        <f>Dados!B1&amp;" - "&amp;Dados!B2&amp;" - "&amp;Dados!B3</f>
        <v>BR-285/RS - km 446,200 ao km 448,600 - LD</v>
      </c>
      <c r="C3" s="834"/>
      <c r="D3" s="834"/>
      <c r="E3" s="834"/>
      <c r="F3" s="835"/>
    </row>
    <row r="4" spans="2:6" ht="15" customHeight="1" x14ac:dyDescent="0.25">
      <c r="B4" s="837" t="s">
        <v>233</v>
      </c>
      <c r="C4" s="837"/>
      <c r="D4" s="837"/>
      <c r="E4" s="836" t="s">
        <v>286</v>
      </c>
      <c r="F4" s="836" t="s">
        <v>203</v>
      </c>
    </row>
    <row r="5" spans="2:6" x14ac:dyDescent="0.25">
      <c r="B5" s="39" t="s">
        <v>293</v>
      </c>
      <c r="C5" s="39" t="s">
        <v>250</v>
      </c>
      <c r="D5" s="39" t="s">
        <v>251</v>
      </c>
      <c r="E5" s="837"/>
      <c r="F5" s="837"/>
    </row>
    <row r="6" spans="2:6" x14ac:dyDescent="0.25">
      <c r="B6" s="5" t="s">
        <v>460</v>
      </c>
      <c r="C6" s="34">
        <v>1220</v>
      </c>
      <c r="D6" s="34">
        <v>1320</v>
      </c>
      <c r="E6" s="33">
        <f>D6-C6</f>
        <v>100</v>
      </c>
      <c r="F6" s="103" t="s">
        <v>398</v>
      </c>
    </row>
    <row r="7" spans="2:6" x14ac:dyDescent="0.25">
      <c r="B7" s="5" t="s">
        <v>460</v>
      </c>
      <c r="C7" s="34">
        <v>1320</v>
      </c>
      <c r="D7" s="34">
        <v>1395</v>
      </c>
      <c r="E7" s="33">
        <f t="shared" ref="E7:E9" si="0">D7-C7</f>
        <v>75</v>
      </c>
      <c r="F7" s="103" t="s">
        <v>398</v>
      </c>
    </row>
    <row r="8" spans="2:6" x14ac:dyDescent="0.25">
      <c r="B8" s="5" t="s">
        <v>460</v>
      </c>
      <c r="C8" s="34">
        <v>1765</v>
      </c>
      <c r="D8" s="34">
        <v>2021</v>
      </c>
      <c r="E8" s="33">
        <f t="shared" si="0"/>
        <v>256</v>
      </c>
      <c r="F8" s="103" t="s">
        <v>398</v>
      </c>
    </row>
    <row r="9" spans="2:6" x14ac:dyDescent="0.25">
      <c r="B9" s="5" t="s">
        <v>460</v>
      </c>
      <c r="C9" s="34">
        <v>2021</v>
      </c>
      <c r="D9" s="34">
        <v>2061</v>
      </c>
      <c r="E9" s="33">
        <f t="shared" si="0"/>
        <v>40</v>
      </c>
      <c r="F9" s="103" t="s">
        <v>398</v>
      </c>
    </row>
    <row r="10" spans="2:6" x14ac:dyDescent="0.25">
      <c r="B10" s="5"/>
      <c r="C10" s="34"/>
      <c r="D10" s="34"/>
      <c r="E10" s="33"/>
      <c r="F10" s="103"/>
    </row>
    <row r="11" spans="2:6" x14ac:dyDescent="0.25">
      <c r="B11" s="5"/>
      <c r="C11" s="34"/>
      <c r="D11" s="34"/>
      <c r="E11" s="33"/>
      <c r="F11" s="103"/>
    </row>
    <row r="12" spans="2:6" x14ac:dyDescent="0.25">
      <c r="B12" s="5"/>
      <c r="C12" s="34"/>
      <c r="D12" s="34"/>
      <c r="E12" s="33"/>
      <c r="F12" s="103"/>
    </row>
    <row r="13" spans="2:6" x14ac:dyDescent="0.25">
      <c r="B13" s="5"/>
      <c r="C13" s="34"/>
      <c r="D13" s="34"/>
      <c r="E13" s="33"/>
      <c r="F13" s="103"/>
    </row>
    <row r="14" spans="2:6" x14ac:dyDescent="0.25">
      <c r="B14" s="5"/>
      <c r="C14" s="34"/>
      <c r="D14" s="34"/>
      <c r="E14" s="33"/>
      <c r="F14" s="103"/>
    </row>
    <row r="15" spans="2:6" x14ac:dyDescent="0.25">
      <c r="B15" s="5"/>
      <c r="C15" s="34"/>
      <c r="D15" s="34"/>
      <c r="E15" s="33"/>
      <c r="F15" s="103"/>
    </row>
    <row r="16" spans="2:6" x14ac:dyDescent="0.25">
      <c r="B16" s="5"/>
      <c r="C16" s="34"/>
      <c r="D16" s="34"/>
      <c r="E16" s="34"/>
      <c r="F16" s="34"/>
    </row>
    <row r="17" spans="2:6" x14ac:dyDescent="0.25">
      <c r="B17" s="5"/>
      <c r="C17" s="34"/>
      <c r="D17" s="34"/>
      <c r="E17" s="34"/>
      <c r="F17" s="34"/>
    </row>
    <row r="18" spans="2:6" x14ac:dyDescent="0.25">
      <c r="B18" s="5"/>
      <c r="C18" s="34"/>
      <c r="D18" s="34"/>
      <c r="E18" s="34"/>
      <c r="F18" s="34"/>
    </row>
    <row r="19" spans="2:6" x14ac:dyDescent="0.25">
      <c r="B19" s="5"/>
      <c r="C19" s="34"/>
      <c r="D19" s="34"/>
      <c r="E19" s="34"/>
      <c r="F19" s="34"/>
    </row>
    <row r="20" spans="2:6" x14ac:dyDescent="0.25">
      <c r="B20" s="5"/>
      <c r="C20" s="34"/>
      <c r="D20" s="34"/>
      <c r="E20" s="34"/>
      <c r="F20" s="34"/>
    </row>
    <row r="21" spans="2:6" x14ac:dyDescent="0.25">
      <c r="B21" s="94"/>
      <c r="C21" s="101"/>
      <c r="D21" s="101"/>
      <c r="E21" s="101"/>
      <c r="F21" s="101"/>
    </row>
    <row r="22" spans="2:6" x14ac:dyDescent="0.25">
      <c r="B22" s="107"/>
      <c r="C22" s="108"/>
      <c r="D22" s="108"/>
      <c r="E22" s="108"/>
      <c r="F22" s="109"/>
    </row>
    <row r="23" spans="2:6" x14ac:dyDescent="0.25">
      <c r="B23" s="98"/>
      <c r="C23" s="99"/>
      <c r="D23" s="99" t="s">
        <v>314</v>
      </c>
      <c r="E23" s="102">
        <f>SUMIF(F6:F21,F23,E6:E21)</f>
        <v>471</v>
      </c>
      <c r="F23" s="100" t="s">
        <v>398</v>
      </c>
    </row>
    <row r="24" spans="2:6" x14ac:dyDescent="0.25">
      <c r="B24" s="98"/>
      <c r="C24" s="99"/>
      <c r="D24" s="99" t="s">
        <v>314</v>
      </c>
      <c r="E24" s="102">
        <f>SUMIF(F6:F21,F24,E6:E21)</f>
        <v>0</v>
      </c>
      <c r="F24" s="100" t="s">
        <v>406</v>
      </c>
    </row>
    <row r="25" spans="2:6" ht="5.0999999999999996" customHeight="1" x14ac:dyDescent="0.25"/>
  </sheetData>
  <mergeCells count="5">
    <mergeCell ref="B2:F2"/>
    <mergeCell ref="B3:F3"/>
    <mergeCell ref="B4:D4"/>
    <mergeCell ref="F4:F5"/>
    <mergeCell ref="E4:E5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9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view="pageBreakPreview" zoomScaleNormal="100" zoomScaleSheetLayoutView="100" workbookViewId="0">
      <pane ySplit="4" topLeftCell="A20" activePane="bottomLeft" state="frozen"/>
      <selection activeCell="C7" sqref="C7"/>
      <selection pane="bottomLeft" activeCell="C7" sqref="C7"/>
    </sheetView>
  </sheetViews>
  <sheetFormatPr defaultRowHeight="15" x14ac:dyDescent="0.25"/>
  <cols>
    <col min="1" max="1" width="1.7109375" customWidth="1"/>
    <col min="2" max="2" width="32.28515625" customWidth="1"/>
    <col min="3" max="5" width="20" customWidth="1"/>
    <col min="6" max="6" width="1.7109375" customWidth="1"/>
  </cols>
  <sheetData>
    <row r="1" spans="2:5" x14ac:dyDescent="0.25">
      <c r="B1" s="826" t="s">
        <v>392</v>
      </c>
      <c r="C1" s="826"/>
      <c r="D1" s="826"/>
      <c r="E1" s="826"/>
    </row>
    <row r="2" spans="2:5" x14ac:dyDescent="0.25">
      <c r="B2" s="826" t="str">
        <f>Dados!B1&amp;" - "&amp;Dados!B2&amp;" - "&amp;Dados!B3</f>
        <v>BR-285/RS - km 446,200 ao km 448,600 - LD</v>
      </c>
      <c r="C2" s="826"/>
      <c r="D2" s="826"/>
      <c r="E2" s="826"/>
    </row>
    <row r="3" spans="2:5" x14ac:dyDescent="0.25">
      <c r="B3" s="832" t="s">
        <v>233</v>
      </c>
      <c r="C3" s="894" t="s">
        <v>393</v>
      </c>
      <c r="D3" s="894" t="s">
        <v>221</v>
      </c>
      <c r="E3" s="894" t="s">
        <v>394</v>
      </c>
    </row>
    <row r="4" spans="2:5" x14ac:dyDescent="0.25">
      <c r="B4" s="832"/>
      <c r="C4" s="831"/>
      <c r="D4" s="831"/>
      <c r="E4" s="831"/>
    </row>
    <row r="5" spans="2:5" x14ac:dyDescent="0.25">
      <c r="B5" s="5" t="s">
        <v>457</v>
      </c>
      <c r="C5" s="79">
        <v>19.023</v>
      </c>
      <c r="D5" s="96">
        <v>1</v>
      </c>
      <c r="E5" s="79">
        <f>C5*D5</f>
        <v>19.023</v>
      </c>
    </row>
    <row r="6" spans="2:5" x14ac:dyDescent="0.25">
      <c r="B6" s="5" t="s">
        <v>458</v>
      </c>
      <c r="C6" s="79">
        <v>479.495</v>
      </c>
      <c r="D6" s="96">
        <v>1</v>
      </c>
      <c r="E6" s="79">
        <f t="shared" ref="E6" si="0">C6*D6</f>
        <v>479.495</v>
      </c>
    </row>
    <row r="7" spans="2:5" x14ac:dyDescent="0.25">
      <c r="B7" s="77"/>
      <c r="C7" s="79"/>
      <c r="D7" s="96"/>
      <c r="E7" s="79"/>
    </row>
    <row r="8" spans="2:5" x14ac:dyDescent="0.25">
      <c r="B8" s="77"/>
      <c r="C8" s="79"/>
      <c r="D8" s="96"/>
      <c r="E8" s="79"/>
    </row>
    <row r="9" spans="2:5" x14ac:dyDescent="0.25">
      <c r="B9" s="77"/>
      <c r="C9" s="79"/>
      <c r="D9" s="96"/>
      <c r="E9" s="79"/>
    </row>
    <row r="10" spans="2:5" x14ac:dyDescent="0.25">
      <c r="B10" s="77"/>
      <c r="C10" s="79"/>
      <c r="D10" s="96"/>
      <c r="E10" s="79"/>
    </row>
    <row r="11" spans="2:5" x14ac:dyDescent="0.25">
      <c r="B11" s="77"/>
      <c r="C11" s="79"/>
      <c r="D11" s="96"/>
      <c r="E11" s="79"/>
    </row>
    <row r="12" spans="2:5" x14ac:dyDescent="0.25">
      <c r="B12" s="77"/>
      <c r="C12" s="79"/>
      <c r="D12" s="96"/>
      <c r="E12" s="79"/>
    </row>
    <row r="13" spans="2:5" x14ac:dyDescent="0.25">
      <c r="B13" s="77"/>
      <c r="C13" s="79"/>
      <c r="D13" s="96"/>
      <c r="E13" s="79"/>
    </row>
    <row r="14" spans="2:5" x14ac:dyDescent="0.25">
      <c r="B14" s="77"/>
      <c r="C14" s="79"/>
      <c r="D14" s="96"/>
      <c r="E14" s="79"/>
    </row>
    <row r="15" spans="2:5" x14ac:dyDescent="0.25">
      <c r="B15" s="77"/>
      <c r="C15" s="79"/>
      <c r="D15" s="96"/>
      <c r="E15" s="79"/>
    </row>
    <row r="16" spans="2:5" x14ac:dyDescent="0.25">
      <c r="B16" s="77"/>
      <c r="C16" s="79"/>
      <c r="D16" s="96"/>
      <c r="E16" s="79"/>
    </row>
    <row r="17" spans="2:5" x14ac:dyDescent="0.25">
      <c r="B17" s="77"/>
      <c r="C17" s="79"/>
      <c r="D17" s="96"/>
      <c r="E17" s="79"/>
    </row>
    <row r="18" spans="2:5" x14ac:dyDescent="0.25">
      <c r="B18" s="77"/>
      <c r="C18" s="79"/>
      <c r="D18" s="96"/>
      <c r="E18" s="79"/>
    </row>
    <row r="19" spans="2:5" x14ac:dyDescent="0.25">
      <c r="B19" s="77"/>
      <c r="C19" s="79"/>
      <c r="D19" s="96"/>
      <c r="E19" s="79"/>
    </row>
    <row r="20" spans="2:5" x14ac:dyDescent="0.25">
      <c r="B20" s="77"/>
      <c r="C20" s="79"/>
      <c r="D20" s="96"/>
      <c r="E20" s="79"/>
    </row>
    <row r="21" spans="2:5" x14ac:dyDescent="0.25">
      <c r="B21" s="77"/>
      <c r="C21" s="79"/>
      <c r="D21" s="96"/>
      <c r="E21" s="79"/>
    </row>
    <row r="22" spans="2:5" x14ac:dyDescent="0.25">
      <c r="B22" s="77"/>
      <c r="C22" s="79"/>
      <c r="D22" s="96"/>
      <c r="E22" s="79"/>
    </row>
    <row r="23" spans="2:5" x14ac:dyDescent="0.25">
      <c r="B23" s="77"/>
      <c r="C23" s="79"/>
      <c r="D23" s="96"/>
      <c r="E23" s="79"/>
    </row>
    <row r="24" spans="2:5" x14ac:dyDescent="0.25">
      <c r="B24" s="77"/>
      <c r="C24" s="79"/>
      <c r="D24" s="96"/>
      <c r="E24" s="79"/>
    </row>
    <row r="25" spans="2:5" x14ac:dyDescent="0.25">
      <c r="B25" s="77"/>
      <c r="C25" s="79"/>
      <c r="D25" s="96"/>
      <c r="E25" s="79"/>
    </row>
    <row r="26" spans="2:5" x14ac:dyDescent="0.25">
      <c r="D26" s="97"/>
    </row>
    <row r="27" spans="2:5" x14ac:dyDescent="0.25">
      <c r="B27" s="89" t="s">
        <v>276</v>
      </c>
      <c r="C27" s="90">
        <f>SUM(C5:C25)</f>
        <v>498.51800000000003</v>
      </c>
      <c r="D27" s="95"/>
      <c r="E27" s="90">
        <f>SUM(E5:E25)</f>
        <v>498.51800000000003</v>
      </c>
    </row>
    <row r="28" spans="2:5" x14ac:dyDescent="0.25">
      <c r="B28" s="81"/>
      <c r="C28" s="81"/>
      <c r="D28" s="81"/>
      <c r="E28" s="81"/>
    </row>
  </sheetData>
  <mergeCells count="6">
    <mergeCell ref="B1:E1"/>
    <mergeCell ref="B2:E2"/>
    <mergeCell ref="B3:B4"/>
    <mergeCell ref="E3:E4"/>
    <mergeCell ref="C3:C4"/>
    <mergeCell ref="D3:D4"/>
  </mergeCells>
  <phoneticPr fontId="17" type="noConversion"/>
  <printOptions horizontalCentered="1"/>
  <pageMargins left="0.59055118110236227" right="0.39370078740157483" top="0.59055118110236227" bottom="0.59055118110236227" header="0.19685039370078741" footer="0.19685039370078741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64"/>
  <sheetViews>
    <sheetView tabSelected="1" view="pageBreakPreview" zoomScaleNormal="100" zoomScaleSheetLayoutView="100" workbookViewId="0">
      <pane ySplit="4" topLeftCell="A45" activePane="bottomLeft" state="frozen"/>
      <selection activeCell="C7" sqref="C7"/>
      <selection pane="bottomLeft" activeCell="G49" sqref="G49"/>
    </sheetView>
  </sheetViews>
  <sheetFormatPr defaultRowHeight="15" x14ac:dyDescent="0.25"/>
  <cols>
    <col min="1" max="1" width="0.85546875" style="120" customWidth="1"/>
    <col min="2" max="2" width="13.28515625" style="1" bestFit="1" customWidth="1"/>
    <col min="3" max="3" width="55.7109375" style="1" customWidth="1"/>
    <col min="4" max="4" width="8.5703125" style="1" bestFit="1" customWidth="1"/>
    <col min="5" max="5" width="11.42578125" style="1" bestFit="1" customWidth="1"/>
    <col min="6" max="6" width="13.85546875" style="1" bestFit="1" customWidth="1"/>
    <col min="7" max="7" width="7.140625" style="1" bestFit="1" customWidth="1"/>
    <col min="8" max="8" width="14.42578125" style="1" customWidth="1"/>
    <col min="9" max="9" width="15.42578125" style="1" bestFit="1" customWidth="1"/>
    <col min="10" max="10" width="0.85546875" style="120" customWidth="1"/>
    <col min="11" max="11" width="8.140625" style="1" bestFit="1" customWidth="1"/>
    <col min="12" max="12" width="11.5703125" style="24" bestFit="1" customWidth="1"/>
    <col min="13" max="13" width="9.140625" style="1"/>
    <col min="14" max="14" width="10.140625" style="1" bestFit="1" customWidth="1"/>
    <col min="15" max="16384" width="9.140625" style="1"/>
  </cols>
  <sheetData>
    <row r="1" spans="2:19" s="120" customFormat="1" ht="5.0999999999999996" customHeight="1" x14ac:dyDescent="0.25">
      <c r="K1" s="130"/>
      <c r="L1" s="131"/>
    </row>
    <row r="2" spans="2:19" x14ac:dyDescent="0.25">
      <c r="B2" s="714" t="s">
        <v>296</v>
      </c>
      <c r="C2" s="714"/>
      <c r="D2" s="714"/>
      <c r="E2" s="714"/>
      <c r="F2" s="714"/>
      <c r="G2" s="714"/>
      <c r="H2" s="714"/>
      <c r="I2" s="714"/>
      <c r="K2" s="26"/>
      <c r="L2" s="25"/>
    </row>
    <row r="3" spans="2:19" x14ac:dyDescent="0.25">
      <c r="B3" s="54"/>
      <c r="C3" s="74" t="s">
        <v>322</v>
      </c>
      <c r="D3" s="55"/>
      <c r="E3" s="55"/>
      <c r="F3" s="55"/>
      <c r="G3" s="55"/>
      <c r="H3" s="56" t="s">
        <v>297</v>
      </c>
      <c r="I3" s="57">
        <v>44835</v>
      </c>
      <c r="K3" s="26"/>
      <c r="L3" s="25"/>
    </row>
    <row r="4" spans="2:19" ht="30" x14ac:dyDescent="0.25">
      <c r="B4" s="50" t="s">
        <v>11</v>
      </c>
      <c r="C4" s="51" t="s">
        <v>10</v>
      </c>
      <c r="D4" s="51" t="s">
        <v>12</v>
      </c>
      <c r="E4" s="51" t="s">
        <v>0</v>
      </c>
      <c r="F4" s="50" t="s">
        <v>13</v>
      </c>
      <c r="G4" s="51" t="s">
        <v>14</v>
      </c>
      <c r="H4" s="50" t="s">
        <v>15</v>
      </c>
      <c r="I4" s="50" t="s">
        <v>16</v>
      </c>
    </row>
    <row r="5" spans="2:19" x14ac:dyDescent="0.25">
      <c r="B5" s="116">
        <v>1</v>
      </c>
      <c r="C5" s="117" t="s">
        <v>20</v>
      </c>
      <c r="D5" s="118">
        <v>0.13437249683647448</v>
      </c>
      <c r="E5" s="117"/>
      <c r="F5" s="117"/>
      <c r="G5" s="117"/>
      <c r="H5" s="117"/>
      <c r="I5" s="119"/>
    </row>
    <row r="6" spans="2:19" ht="45" x14ac:dyDescent="0.25">
      <c r="B6" s="29">
        <v>5502112</v>
      </c>
      <c r="C6" s="320" t="s">
        <v>462</v>
      </c>
      <c r="D6" s="6" t="s">
        <v>2</v>
      </c>
      <c r="E6" s="82">
        <v>16358.4</v>
      </c>
      <c r="F6" s="91">
        <v>6.97</v>
      </c>
      <c r="G6" s="9">
        <f>bdi_SD</f>
        <v>0.25290000000000001</v>
      </c>
      <c r="H6" s="8">
        <f>TRUNC(F6*G6+F6,2)</f>
        <v>8.73</v>
      </c>
      <c r="I6" s="10">
        <f>TRUNC(H6*E6,2)</f>
        <v>142808.82999999999</v>
      </c>
      <c r="K6" s="92">
        <f t="shared" ref="K6:K11" si="0">I6/$I$63</f>
        <v>5.7290058847333424E-2</v>
      </c>
      <c r="L6" s="104"/>
    </row>
    <row r="7" spans="2:19" x14ac:dyDescent="0.25">
      <c r="B7" s="29">
        <v>5502985</v>
      </c>
      <c r="C7" s="320" t="s">
        <v>17</v>
      </c>
      <c r="D7" s="6" t="s">
        <v>3</v>
      </c>
      <c r="E7" s="82">
        <v>16624.599999999999</v>
      </c>
      <c r="F7" s="91">
        <v>0.42</v>
      </c>
      <c r="G7" s="9">
        <f>bdi_SD</f>
        <v>0.25290000000000001</v>
      </c>
      <c r="H7" s="8">
        <f t="shared" ref="H7:H9" si="1">TRUNC(F7*G7+F7,2)</f>
        <v>0.52</v>
      </c>
      <c r="I7" s="10">
        <f t="shared" ref="I7:I9" si="2">TRUNC(H7*E7,2)</f>
        <v>8644.7900000000009</v>
      </c>
      <c r="K7" s="92">
        <f t="shared" si="0"/>
        <v>3.467996536508559E-3</v>
      </c>
      <c r="L7" s="104"/>
    </row>
    <row r="8" spans="2:19" x14ac:dyDescent="0.25">
      <c r="B8" s="29">
        <v>5503041</v>
      </c>
      <c r="C8" s="320" t="s">
        <v>18</v>
      </c>
      <c r="D8" s="6" t="s">
        <v>2</v>
      </c>
      <c r="E8" s="113">
        <v>13845.3</v>
      </c>
      <c r="F8" s="91">
        <v>7.36</v>
      </c>
      <c r="G8" s="9">
        <f>bdi_SD</f>
        <v>0.25290000000000001</v>
      </c>
      <c r="H8" s="8">
        <f t="shared" si="1"/>
        <v>9.2200000000000006</v>
      </c>
      <c r="I8" s="10">
        <f t="shared" si="2"/>
        <v>127653.66</v>
      </c>
      <c r="K8" s="92">
        <f t="shared" si="0"/>
        <v>5.1210318672014143E-2</v>
      </c>
      <c r="L8" s="104"/>
    </row>
    <row r="9" spans="2:19" x14ac:dyDescent="0.25">
      <c r="B9" s="29">
        <v>4413942</v>
      </c>
      <c r="C9" s="320" t="s">
        <v>19</v>
      </c>
      <c r="D9" s="6" t="s">
        <v>2</v>
      </c>
      <c r="E9" s="113">
        <v>3615.2</v>
      </c>
      <c r="F9" s="91">
        <v>1.5</v>
      </c>
      <c r="G9" s="9">
        <f>bdi_SD</f>
        <v>0.25290000000000001</v>
      </c>
      <c r="H9" s="8">
        <f t="shared" si="1"/>
        <v>1.87</v>
      </c>
      <c r="I9" s="10">
        <f t="shared" si="2"/>
        <v>6760.42</v>
      </c>
      <c r="K9" s="92">
        <f t="shared" si="0"/>
        <v>2.7120512060261948E-3</v>
      </c>
      <c r="L9" s="104"/>
      <c r="N9" s="32"/>
    </row>
    <row r="10" spans="2:19" x14ac:dyDescent="0.25">
      <c r="B10" s="29">
        <v>4805757</v>
      </c>
      <c r="C10" s="320" t="s">
        <v>28</v>
      </c>
      <c r="D10" s="6" t="s">
        <v>2</v>
      </c>
      <c r="E10" s="82">
        <v>5843.7</v>
      </c>
      <c r="F10" s="91">
        <v>6.71</v>
      </c>
      <c r="G10" s="9">
        <f>bdi_SD</f>
        <v>0.25290000000000001</v>
      </c>
      <c r="H10" s="8">
        <f>TRUNC(F10*G10+F10,2)</f>
        <v>8.4</v>
      </c>
      <c r="I10" s="10">
        <f t="shared" ref="I10" si="3">TRUNC(H10*E10,2)</f>
        <v>49087.08</v>
      </c>
      <c r="K10" s="92">
        <f t="shared" si="0"/>
        <v>1.9692071574592157E-2</v>
      </c>
      <c r="L10" s="104"/>
    </row>
    <row r="11" spans="2:19" s="120" customFormat="1" x14ac:dyDescent="0.25">
      <c r="B11" s="123"/>
      <c r="C11" s="124"/>
      <c r="D11" s="125"/>
      <c r="E11" s="126"/>
      <c r="F11" s="132"/>
      <c r="G11" s="133"/>
      <c r="H11" s="127" t="str">
        <f>"Sub Total - "&amp;PROPER(C5)&amp;" : "</f>
        <v xml:space="preserve">Sub Total - Terraplanagem : </v>
      </c>
      <c r="I11" s="128">
        <f>SUM(I6:I10)</f>
        <v>334954.78000000003</v>
      </c>
      <c r="K11" s="129">
        <f t="shared" si="0"/>
        <v>0.13437249683647448</v>
      </c>
      <c r="L11" s="122"/>
    </row>
    <row r="12" spans="2:19" x14ac:dyDescent="0.25">
      <c r="B12" s="116">
        <v>2</v>
      </c>
      <c r="C12" s="117" t="s">
        <v>5</v>
      </c>
      <c r="D12" s="118">
        <v>0.48635522028216122</v>
      </c>
      <c r="E12" s="117"/>
      <c r="F12" s="117"/>
      <c r="G12" s="117"/>
      <c r="H12" s="117"/>
      <c r="I12" s="119"/>
      <c r="K12" s="92"/>
    </row>
    <row r="13" spans="2:19" ht="30" x14ac:dyDescent="0.25">
      <c r="B13" s="29">
        <v>4011466</v>
      </c>
      <c r="C13" s="320" t="s">
        <v>199</v>
      </c>
      <c r="D13" s="6" t="s">
        <v>23</v>
      </c>
      <c r="E13" s="7">
        <f t="shared" ref="E13:E19" si="4">R13</f>
        <v>285.38926799999996</v>
      </c>
      <c r="F13" s="91">
        <v>188.52</v>
      </c>
      <c r="G13" s="9">
        <f t="shared" ref="G13:G21" si="5">bdi_SD</f>
        <v>0.25290000000000001</v>
      </c>
      <c r="H13" s="8">
        <f t="shared" ref="H13:H20" si="6">TRUNC(F13*G13+F13,2)</f>
        <v>236.19</v>
      </c>
      <c r="I13" s="10">
        <f t="shared" ref="I13:I20" si="7">TRUNC(H13*E13,2)</f>
        <v>67406.09</v>
      </c>
      <c r="K13" s="92">
        <f t="shared" ref="K13:K22" si="8">I13/$I$63</f>
        <v>2.7041037047699733E-2</v>
      </c>
      <c r="L13" s="31">
        <v>2193.8980000000001</v>
      </c>
      <c r="M13" s="73">
        <v>0.04</v>
      </c>
      <c r="N13" s="32">
        <f>L13*M13*2.55</f>
        <v>223.77759599999999</v>
      </c>
      <c r="O13" s="31">
        <f>21.906+582.13</f>
        <v>604.03599999999994</v>
      </c>
      <c r="P13" s="73">
        <v>0.04</v>
      </c>
      <c r="Q13" s="32">
        <f>O13*P13*2.55</f>
        <v>61.611671999999992</v>
      </c>
      <c r="R13" s="32">
        <f>N13+Q13</f>
        <v>285.38926799999996</v>
      </c>
      <c r="S13" s="114">
        <f>R13/2.55</f>
        <v>111.91735999999999</v>
      </c>
    </row>
    <row r="14" spans="2:19" x14ac:dyDescent="0.25">
      <c r="B14" s="29">
        <v>4011276</v>
      </c>
      <c r="C14" s="320" t="s">
        <v>25</v>
      </c>
      <c r="D14" s="6" t="s">
        <v>2</v>
      </c>
      <c r="E14" s="7">
        <f>R14</f>
        <v>466.18938000000003</v>
      </c>
      <c r="F14" s="91">
        <v>186.67</v>
      </c>
      <c r="G14" s="9">
        <f t="shared" si="5"/>
        <v>0.25290000000000001</v>
      </c>
      <c r="H14" s="8">
        <f t="shared" si="6"/>
        <v>233.87</v>
      </c>
      <c r="I14" s="10">
        <f t="shared" si="7"/>
        <v>109027.71</v>
      </c>
      <c r="K14" s="92">
        <f t="shared" si="8"/>
        <v>4.373821928160887E-2</v>
      </c>
      <c r="L14" s="31">
        <f>L13*1.1</f>
        <v>2413.2878000000005</v>
      </c>
      <c r="M14" s="73">
        <v>0.15</v>
      </c>
      <c r="N14" s="32">
        <f>L14*M14</f>
        <v>361.99317000000008</v>
      </c>
      <c r="O14" s="31">
        <f>O13*1.15</f>
        <v>694.64139999999986</v>
      </c>
      <c r="P14" s="1">
        <v>0.15</v>
      </c>
      <c r="Q14" s="32">
        <f>O14*P14</f>
        <v>104.19620999999998</v>
      </c>
      <c r="R14" s="32">
        <f>N14+Q14</f>
        <v>466.18938000000003</v>
      </c>
    </row>
    <row r="15" spans="2:19" x14ac:dyDescent="0.25">
      <c r="B15" s="29">
        <v>4011279</v>
      </c>
      <c r="C15" s="320" t="s">
        <v>24</v>
      </c>
      <c r="D15" s="6" t="s">
        <v>2</v>
      </c>
      <c r="E15" s="7">
        <f t="shared" si="4"/>
        <v>615.36998160000007</v>
      </c>
      <c r="F15" s="91">
        <v>158.53</v>
      </c>
      <c r="G15" s="9">
        <f t="shared" si="5"/>
        <v>0.25290000000000001</v>
      </c>
      <c r="H15" s="8">
        <f t="shared" si="6"/>
        <v>198.62</v>
      </c>
      <c r="I15" s="10">
        <f t="shared" si="7"/>
        <v>122224.78</v>
      </c>
      <c r="K15" s="92">
        <f t="shared" si="8"/>
        <v>4.903243615119865E-2</v>
      </c>
      <c r="L15" s="31">
        <f>L14*1.1</f>
        <v>2654.6165800000008</v>
      </c>
      <c r="M15" s="73">
        <v>0.18</v>
      </c>
      <c r="N15" s="32">
        <f>L15*M15</f>
        <v>477.83098440000015</v>
      </c>
      <c r="O15" s="31">
        <f>O14*1.1</f>
        <v>764.10553999999991</v>
      </c>
      <c r="P15" s="1">
        <v>0.18</v>
      </c>
      <c r="Q15" s="32">
        <f>O15*P15</f>
        <v>137.53899719999998</v>
      </c>
      <c r="R15" s="32">
        <f>N15+Q15</f>
        <v>615.36998160000007</v>
      </c>
    </row>
    <row r="16" spans="2:19" x14ac:dyDescent="0.25">
      <c r="B16" s="29">
        <v>4011351</v>
      </c>
      <c r="C16" s="320" t="s">
        <v>298</v>
      </c>
      <c r="D16" s="6" t="s">
        <v>3</v>
      </c>
      <c r="E16" s="7">
        <f t="shared" si="4"/>
        <v>3107.9292000000005</v>
      </c>
      <c r="F16" s="91">
        <v>0.35</v>
      </c>
      <c r="G16" s="9">
        <f t="shared" si="5"/>
        <v>0.25290000000000001</v>
      </c>
      <c r="H16" s="8">
        <f t="shared" si="6"/>
        <v>0.43</v>
      </c>
      <c r="I16" s="10">
        <f t="shared" si="7"/>
        <v>1336.4</v>
      </c>
      <c r="K16" s="92">
        <f t="shared" si="8"/>
        <v>5.3611835237062306E-4</v>
      </c>
      <c r="L16" s="31">
        <f>L14</f>
        <v>2413.2878000000005</v>
      </c>
      <c r="M16" s="73"/>
      <c r="O16" s="31">
        <f>O14</f>
        <v>694.64139999999986</v>
      </c>
      <c r="R16" s="32">
        <f>L16+O16</f>
        <v>3107.9292000000005</v>
      </c>
    </row>
    <row r="17" spans="2:18" x14ac:dyDescent="0.25">
      <c r="B17" s="29">
        <v>4011353</v>
      </c>
      <c r="C17" s="320" t="s">
        <v>26</v>
      </c>
      <c r="D17" s="6" t="s">
        <v>3</v>
      </c>
      <c r="E17" s="7">
        <f t="shared" si="4"/>
        <v>2797.9340000000002</v>
      </c>
      <c r="F17" s="91">
        <v>0.26</v>
      </c>
      <c r="G17" s="9">
        <f t="shared" si="5"/>
        <v>0.25290000000000001</v>
      </c>
      <c r="H17" s="8">
        <f t="shared" si="6"/>
        <v>0.32</v>
      </c>
      <c r="I17" s="10">
        <f t="shared" si="7"/>
        <v>895.33</v>
      </c>
      <c r="K17" s="92">
        <f t="shared" si="8"/>
        <v>3.5917602845554467E-4</v>
      </c>
      <c r="L17" s="31">
        <f>L13</f>
        <v>2193.8980000000001</v>
      </c>
      <c r="M17" s="73"/>
      <c r="O17" s="31">
        <f>O13</f>
        <v>604.03599999999994</v>
      </c>
      <c r="R17" s="32">
        <f>O17+L17</f>
        <v>2797.9340000000002</v>
      </c>
    </row>
    <row r="18" spans="2:18" x14ac:dyDescent="0.25">
      <c r="B18" s="29">
        <v>4011209</v>
      </c>
      <c r="C18" s="320" t="s">
        <v>27</v>
      </c>
      <c r="D18" s="6" t="s">
        <v>3</v>
      </c>
      <c r="E18" s="7">
        <f t="shared" si="4"/>
        <v>3418.7221200000008</v>
      </c>
      <c r="F18" s="91">
        <v>1.02</v>
      </c>
      <c r="G18" s="9">
        <f t="shared" si="5"/>
        <v>0.25290000000000001</v>
      </c>
      <c r="H18" s="8">
        <f t="shared" si="6"/>
        <v>1.27</v>
      </c>
      <c r="I18" s="10">
        <f t="shared" si="7"/>
        <v>4341.7700000000004</v>
      </c>
      <c r="K18" s="92">
        <f t="shared" si="8"/>
        <v>1.7417708610986231E-3</v>
      </c>
      <c r="L18" s="31">
        <f>L15</f>
        <v>2654.6165800000008</v>
      </c>
      <c r="M18" s="73"/>
      <c r="O18" s="31">
        <f>O15</f>
        <v>764.10553999999991</v>
      </c>
      <c r="R18" s="32">
        <f>O18+L18</f>
        <v>3418.7221200000008</v>
      </c>
    </row>
    <row r="19" spans="2:18" x14ac:dyDescent="0.25">
      <c r="B19" s="29">
        <v>4011479</v>
      </c>
      <c r="C19" s="320" t="s">
        <v>387</v>
      </c>
      <c r="D19" s="6" t="s">
        <v>2</v>
      </c>
      <c r="E19" s="7">
        <f t="shared" si="4"/>
        <v>14.4</v>
      </c>
      <c r="F19" s="91">
        <v>51.59</v>
      </c>
      <c r="G19" s="9">
        <f t="shared" si="5"/>
        <v>0.25290000000000001</v>
      </c>
      <c r="H19" s="8">
        <f t="shared" ref="H19" si="9">TRUNC(F19*G19+F19,2)</f>
        <v>64.63</v>
      </c>
      <c r="I19" s="10">
        <f t="shared" ref="I19" si="10">TRUNC(H19*E19,2)</f>
        <v>930.67</v>
      </c>
      <c r="K19" s="92">
        <f t="shared" si="8"/>
        <v>3.7335323780362742E-4</v>
      </c>
      <c r="L19" s="31"/>
      <c r="M19" s="73"/>
      <c r="O19" s="31">
        <f>180*1*2</f>
        <v>360</v>
      </c>
      <c r="P19" s="73">
        <v>0.04</v>
      </c>
      <c r="Q19" s="32">
        <f>O19*P19</f>
        <v>14.4</v>
      </c>
      <c r="R19" s="32">
        <f>Q19</f>
        <v>14.4</v>
      </c>
    </row>
    <row r="20" spans="2:18" x14ac:dyDescent="0.25">
      <c r="B20" s="29">
        <v>4915669</v>
      </c>
      <c r="C20" s="320" t="s">
        <v>29</v>
      </c>
      <c r="D20" s="6" t="s">
        <v>2</v>
      </c>
      <c r="E20" s="7">
        <f>R20</f>
        <v>280</v>
      </c>
      <c r="F20" s="91">
        <v>7.01</v>
      </c>
      <c r="G20" s="9">
        <f t="shared" si="5"/>
        <v>0.25290000000000001</v>
      </c>
      <c r="H20" s="8">
        <f t="shared" si="6"/>
        <v>8.7799999999999994</v>
      </c>
      <c r="I20" s="10">
        <f t="shared" si="7"/>
        <v>2458.4</v>
      </c>
      <c r="K20" s="92">
        <f t="shared" si="8"/>
        <v>9.8622669669854801E-4</v>
      </c>
      <c r="L20" s="31"/>
      <c r="M20" s="73"/>
      <c r="N20" s="32"/>
      <c r="O20" s="31">
        <f>448*2.5*0.5</f>
        <v>560</v>
      </c>
      <c r="P20" s="73">
        <v>0.5</v>
      </c>
      <c r="Q20" s="1">
        <f>O20*P20</f>
        <v>280</v>
      </c>
      <c r="R20" s="32">
        <f>Q20</f>
        <v>280</v>
      </c>
    </row>
    <row r="21" spans="2:18" ht="30" x14ac:dyDescent="0.25">
      <c r="B21" s="115" t="s">
        <v>441</v>
      </c>
      <c r="C21" s="320" t="s">
        <v>571</v>
      </c>
      <c r="D21" s="6" t="s">
        <v>3</v>
      </c>
      <c r="E21" s="7">
        <f>L21</f>
        <v>19603.744999999999</v>
      </c>
      <c r="F21" s="91">
        <v>36.799999999999997</v>
      </c>
      <c r="G21" s="9">
        <f t="shared" si="5"/>
        <v>0.25290000000000001</v>
      </c>
      <c r="H21" s="8">
        <f t="shared" ref="H21" si="11">TRUNC(F21*G21+F21,2)</f>
        <v>46.1</v>
      </c>
      <c r="I21" s="10">
        <f t="shared" ref="I21" si="12">TRUNC(H21*E21,2)</f>
        <v>903732.64</v>
      </c>
      <c r="K21" s="92">
        <f t="shared" si="8"/>
        <v>0.362546882625227</v>
      </c>
      <c r="L21" s="31">
        <v>19603.744999999999</v>
      </c>
      <c r="M21" s="73"/>
      <c r="N21" s="32"/>
    </row>
    <row r="22" spans="2:18" s="120" customFormat="1" x14ac:dyDescent="0.25">
      <c r="B22" s="123"/>
      <c r="C22" s="124"/>
      <c r="D22" s="125"/>
      <c r="E22" s="126"/>
      <c r="F22" s="132"/>
      <c r="G22" s="133"/>
      <c r="H22" s="127" t="str">
        <f>"Sub Total - "&amp;PROPER(C12)&amp;" : "</f>
        <v xml:space="preserve">Sub Total - Pavimentação : </v>
      </c>
      <c r="I22" s="128">
        <f>SUM(I13:I21)</f>
        <v>1212353.79</v>
      </c>
      <c r="K22" s="129">
        <f t="shared" si="8"/>
        <v>0.48635522028216122</v>
      </c>
      <c r="L22" s="122"/>
    </row>
    <row r="23" spans="2:18" x14ac:dyDescent="0.25">
      <c r="B23" s="116">
        <v>3</v>
      </c>
      <c r="C23" s="117" t="s">
        <v>6</v>
      </c>
      <c r="D23" s="118">
        <v>0.10871989158791512</v>
      </c>
      <c r="E23" s="117"/>
      <c r="F23" s="117"/>
      <c r="G23" s="117"/>
      <c r="H23" s="117"/>
      <c r="I23" s="119"/>
      <c r="K23" s="92"/>
    </row>
    <row r="24" spans="2:18" ht="30" x14ac:dyDescent="0.25">
      <c r="B24" s="29">
        <v>804037</v>
      </c>
      <c r="C24" s="320" t="s">
        <v>463</v>
      </c>
      <c r="D24" s="6" t="s">
        <v>4</v>
      </c>
      <c r="E24" s="7">
        <f>Dren.!K28</f>
        <v>177</v>
      </c>
      <c r="F24" s="91">
        <v>798.4</v>
      </c>
      <c r="G24" s="9">
        <f t="shared" ref="G24:G26" si="13">bdi_SD</f>
        <v>0.25290000000000001</v>
      </c>
      <c r="H24" s="8">
        <f t="shared" ref="H24:H26" si="14">TRUNC(F24*G24+F24,2)</f>
        <v>1000.31</v>
      </c>
      <c r="I24" s="10">
        <f t="shared" ref="I24:I26" si="15">TRUNC(H24*E24,2)</f>
        <v>177054.87</v>
      </c>
      <c r="K24" s="92">
        <f>I24/$I$63</f>
        <v>7.1028408548035646E-2</v>
      </c>
    </row>
    <row r="25" spans="2:18" ht="30" x14ac:dyDescent="0.25">
      <c r="B25" s="29">
        <v>804393</v>
      </c>
      <c r="C25" s="320" t="s">
        <v>464</v>
      </c>
      <c r="D25" s="6" t="s">
        <v>1</v>
      </c>
      <c r="E25" s="7">
        <f>Dren.!I28</f>
        <v>18</v>
      </c>
      <c r="F25" s="91">
        <v>2496.7800000000002</v>
      </c>
      <c r="G25" s="9">
        <f t="shared" si="13"/>
        <v>0.25290000000000001</v>
      </c>
      <c r="H25" s="8">
        <f t="shared" si="14"/>
        <v>3128.21</v>
      </c>
      <c r="I25" s="10">
        <f t="shared" si="15"/>
        <v>56307.78</v>
      </c>
      <c r="K25" s="92">
        <f>I25/$I$63</f>
        <v>2.2588771504974198E-2</v>
      </c>
    </row>
    <row r="26" spans="2:18" ht="30" x14ac:dyDescent="0.25">
      <c r="B26" s="29">
        <v>2003321</v>
      </c>
      <c r="C26" s="320" t="s">
        <v>484</v>
      </c>
      <c r="D26" s="6" t="s">
        <v>4</v>
      </c>
      <c r="E26" s="7">
        <f>Sarjetas!E23</f>
        <v>471</v>
      </c>
      <c r="F26" s="91">
        <v>63.8</v>
      </c>
      <c r="G26" s="9">
        <f t="shared" si="13"/>
        <v>0.25290000000000001</v>
      </c>
      <c r="H26" s="8">
        <f t="shared" si="14"/>
        <v>79.930000000000007</v>
      </c>
      <c r="I26" s="10">
        <f t="shared" si="15"/>
        <v>37647.03</v>
      </c>
      <c r="K26" s="92">
        <f>I26/$I$63</f>
        <v>1.5102711534905278E-2</v>
      </c>
    </row>
    <row r="27" spans="2:18" s="120" customFormat="1" x14ac:dyDescent="0.25">
      <c r="B27" s="123"/>
      <c r="C27" s="124"/>
      <c r="D27" s="125"/>
      <c r="E27" s="126"/>
      <c r="F27" s="132"/>
      <c r="G27" s="133"/>
      <c r="H27" s="127" t="str">
        <f>"Sub Total - "&amp;PROPER(C23)&amp;" : "</f>
        <v xml:space="preserve">Sub Total - Drenagem : </v>
      </c>
      <c r="I27" s="128">
        <f>SUM(I24:I26)</f>
        <v>271009.68</v>
      </c>
      <c r="K27" s="129">
        <f>I27/$I$63</f>
        <v>0.10871989158791512</v>
      </c>
      <c r="L27" s="122"/>
    </row>
    <row r="28" spans="2:18" x14ac:dyDescent="0.25">
      <c r="B28" s="116">
        <v>4</v>
      </c>
      <c r="C28" s="117" t="s">
        <v>7</v>
      </c>
      <c r="D28" s="118">
        <v>6.6910394585073057E-2</v>
      </c>
      <c r="E28" s="117"/>
      <c r="F28" s="117"/>
      <c r="G28" s="117"/>
      <c r="H28" s="117"/>
      <c r="I28" s="119"/>
      <c r="K28" s="92"/>
    </row>
    <row r="29" spans="2:18" ht="30" x14ac:dyDescent="0.25">
      <c r="B29" s="29">
        <v>2003377</v>
      </c>
      <c r="C29" s="320" t="s">
        <v>416</v>
      </c>
      <c r="D29" s="6" t="s">
        <v>4</v>
      </c>
      <c r="E29" s="7">
        <f>MFC!E23</f>
        <v>5321</v>
      </c>
      <c r="F29" s="91">
        <v>24.19</v>
      </c>
      <c r="G29" s="9">
        <f>bdi_SD</f>
        <v>0.25290000000000001</v>
      </c>
      <c r="H29" s="8">
        <f t="shared" ref="H29:H30" si="16">TRUNC(F29*G29+F29,2)</f>
        <v>30.3</v>
      </c>
      <c r="I29" s="10">
        <f t="shared" ref="I29:I30" si="17">TRUNC(H29*E29,2)</f>
        <v>161226.29999999999</v>
      </c>
      <c r="K29" s="92">
        <f>I29/$I$63</f>
        <v>6.4678523132903148E-2</v>
      </c>
    </row>
    <row r="30" spans="2:18" x14ac:dyDescent="0.25">
      <c r="B30" s="29">
        <v>4413996</v>
      </c>
      <c r="C30" s="320" t="s">
        <v>8</v>
      </c>
      <c r="D30" s="6" t="s">
        <v>3</v>
      </c>
      <c r="E30" s="7">
        <f>Enleivamento!E27</f>
        <v>498.51800000000003</v>
      </c>
      <c r="F30" s="91">
        <v>8.91</v>
      </c>
      <c r="G30" s="9">
        <f>bdi_SD</f>
        <v>0.25290000000000001</v>
      </c>
      <c r="H30" s="8">
        <f t="shared" si="16"/>
        <v>11.16</v>
      </c>
      <c r="I30" s="10">
        <f t="shared" si="17"/>
        <v>5563.46</v>
      </c>
      <c r="K30" s="92">
        <f>I30/$I$63</f>
        <v>2.231871452169909E-3</v>
      </c>
    </row>
    <row r="31" spans="2:18" s="120" customFormat="1" x14ac:dyDescent="0.25">
      <c r="B31" s="123"/>
      <c r="C31" s="124"/>
      <c r="D31" s="125"/>
      <c r="E31" s="126"/>
      <c r="F31" s="132"/>
      <c r="G31" s="133"/>
      <c r="H31" s="127" t="str">
        <f>"Sub Total - "&amp;PROPER(C28)&amp;" : "</f>
        <v xml:space="preserve">Sub Total - Obras Complementares : </v>
      </c>
      <c r="I31" s="128">
        <f>SUM(I29:I30)</f>
        <v>166789.75999999998</v>
      </c>
      <c r="K31" s="129">
        <f>I31/$I$63</f>
        <v>6.6910394585073057E-2</v>
      </c>
      <c r="L31" s="122"/>
    </row>
    <row r="32" spans="2:18" x14ac:dyDescent="0.25">
      <c r="B32" s="116">
        <v>5</v>
      </c>
      <c r="C32" s="117" t="s">
        <v>9</v>
      </c>
      <c r="D32" s="118">
        <v>2.3125295035087937E-2</v>
      </c>
      <c r="E32" s="117"/>
      <c r="F32" s="117"/>
      <c r="G32" s="117"/>
      <c r="H32" s="117"/>
      <c r="I32" s="119"/>
      <c r="K32" s="92"/>
    </row>
    <row r="33" spans="2:12" x14ac:dyDescent="0.25">
      <c r="B33" s="29">
        <v>5213572</v>
      </c>
      <c r="C33" s="320" t="s">
        <v>400</v>
      </c>
      <c r="D33" s="6" t="s">
        <v>3</v>
      </c>
      <c r="E33" s="7">
        <f>'Sin. V.'!H52</f>
        <v>39.340000000000003</v>
      </c>
      <c r="F33" s="91">
        <v>592.04999999999995</v>
      </c>
      <c r="G33" s="9">
        <f t="shared" ref="G33:G39" si="18">bdi_SD</f>
        <v>0.25290000000000001</v>
      </c>
      <c r="H33" s="8">
        <f t="shared" ref="H33:H37" si="19">TRUNC(F33*G33+F33,2)</f>
        <v>741.77</v>
      </c>
      <c r="I33" s="10">
        <f t="shared" ref="I33:I37" si="20">TRUNC(H33*E33,2)</f>
        <v>29181.23</v>
      </c>
      <c r="K33" s="92">
        <f t="shared" ref="K33:K38" si="21">I33/$I$63</f>
        <v>1.1706519715465574E-2</v>
      </c>
    </row>
    <row r="34" spans="2:12" ht="30" x14ac:dyDescent="0.25">
      <c r="B34" s="29">
        <v>5216111</v>
      </c>
      <c r="C34" s="320" t="s">
        <v>401</v>
      </c>
      <c r="D34" s="6" t="s">
        <v>1</v>
      </c>
      <c r="E34" s="7">
        <f>'Sin. V.'!I52</f>
        <v>39</v>
      </c>
      <c r="F34" s="91">
        <v>106.5</v>
      </c>
      <c r="G34" s="9">
        <f t="shared" si="18"/>
        <v>0.25290000000000001</v>
      </c>
      <c r="H34" s="8">
        <f t="shared" ref="H34" si="22">TRUNC(F34*G34+F34,2)</f>
        <v>133.43</v>
      </c>
      <c r="I34" s="10">
        <f t="shared" ref="I34" si="23">TRUNC(H34*E34,2)</f>
        <v>5203.7700000000004</v>
      </c>
      <c r="K34" s="92">
        <f t="shared" si="21"/>
        <v>2.0875760240314854E-3</v>
      </c>
    </row>
    <row r="35" spans="2:12" ht="30" x14ac:dyDescent="0.25">
      <c r="B35" s="29">
        <v>5213402</v>
      </c>
      <c r="C35" s="320" t="s">
        <v>402</v>
      </c>
      <c r="D35" s="6" t="s">
        <v>3</v>
      </c>
      <c r="E35" s="4">
        <f>Sin.H.!I11</f>
        <v>386.25</v>
      </c>
      <c r="F35" s="91">
        <v>15.66</v>
      </c>
      <c r="G35" s="9">
        <f t="shared" si="18"/>
        <v>0.25290000000000001</v>
      </c>
      <c r="H35" s="2">
        <f t="shared" si="19"/>
        <v>19.62</v>
      </c>
      <c r="I35" s="3">
        <f t="shared" si="20"/>
        <v>7578.22</v>
      </c>
      <c r="K35" s="92">
        <f t="shared" si="21"/>
        <v>3.0401248281218965E-3</v>
      </c>
    </row>
    <row r="36" spans="2:12" ht="30" x14ac:dyDescent="0.25">
      <c r="B36" s="29">
        <v>5213406</v>
      </c>
      <c r="C36" s="320" t="s">
        <v>403</v>
      </c>
      <c r="D36" s="6" t="s">
        <v>3</v>
      </c>
      <c r="E36" s="4">
        <f>Sin.H.!I18</f>
        <v>63.844999999999999</v>
      </c>
      <c r="F36" s="91">
        <v>28.23</v>
      </c>
      <c r="G36" s="9">
        <f t="shared" si="18"/>
        <v>0.25290000000000001</v>
      </c>
      <c r="H36" s="2">
        <f t="shared" si="19"/>
        <v>35.36</v>
      </c>
      <c r="I36" s="3">
        <f t="shared" si="20"/>
        <v>2257.5500000000002</v>
      </c>
      <c r="K36" s="92">
        <f t="shared" si="21"/>
        <v>9.05652489070862E-4</v>
      </c>
    </row>
    <row r="37" spans="2:12" ht="30" x14ac:dyDescent="0.25">
      <c r="B37" s="29">
        <v>5219605</v>
      </c>
      <c r="C37" s="320" t="s">
        <v>31</v>
      </c>
      <c r="D37" s="6" t="s">
        <v>1</v>
      </c>
      <c r="E37" s="7">
        <f>Tachas!I11</f>
        <v>209</v>
      </c>
      <c r="F37" s="91">
        <v>24.89</v>
      </c>
      <c r="G37" s="9">
        <f t="shared" si="18"/>
        <v>0.25290000000000001</v>
      </c>
      <c r="H37" s="8">
        <f t="shared" si="19"/>
        <v>31.18</v>
      </c>
      <c r="I37" s="10">
        <f t="shared" si="20"/>
        <v>6516.62</v>
      </c>
      <c r="K37" s="92">
        <f t="shared" si="21"/>
        <v>2.6142469151642089E-3</v>
      </c>
    </row>
    <row r="38" spans="2:12" ht="30" x14ac:dyDescent="0.25">
      <c r="B38" s="29">
        <v>5219644</v>
      </c>
      <c r="C38" s="320" t="s">
        <v>404</v>
      </c>
      <c r="D38" s="6" t="s">
        <v>1</v>
      </c>
      <c r="E38" s="7">
        <f>Tachas!I20</f>
        <v>20</v>
      </c>
      <c r="F38" s="91">
        <v>72.08</v>
      </c>
      <c r="G38" s="9">
        <f t="shared" si="18"/>
        <v>0.25290000000000001</v>
      </c>
      <c r="H38" s="8">
        <f t="shared" ref="H38:H39" si="24">TRUNC(F38*G38+F38,2)</f>
        <v>90.3</v>
      </c>
      <c r="I38" s="10">
        <f t="shared" ref="I38:I39" si="25">TRUNC(H38*E38,2)</f>
        <v>1806</v>
      </c>
      <c r="K38" s="92">
        <f t="shared" si="21"/>
        <v>7.2450594461339799E-4</v>
      </c>
    </row>
    <row r="39" spans="2:12" ht="30" x14ac:dyDescent="0.25">
      <c r="B39" s="29">
        <v>5219643</v>
      </c>
      <c r="C39" s="320" t="s">
        <v>405</v>
      </c>
      <c r="D39" s="6" t="s">
        <v>1</v>
      </c>
      <c r="E39" s="7">
        <f>Tachas!I18</f>
        <v>55</v>
      </c>
      <c r="F39" s="91">
        <v>74.040000000000006</v>
      </c>
      <c r="G39" s="9">
        <f t="shared" si="18"/>
        <v>0.25290000000000001</v>
      </c>
      <c r="H39" s="8">
        <f t="shared" si="24"/>
        <v>92.76</v>
      </c>
      <c r="I39" s="10">
        <f t="shared" si="25"/>
        <v>5101.8</v>
      </c>
      <c r="K39" s="92">
        <f t="shared" ref="K39" si="26">I39/$I$63</f>
        <v>2.0466691186205063E-3</v>
      </c>
    </row>
    <row r="40" spans="2:12" s="120" customFormat="1" x14ac:dyDescent="0.25">
      <c r="B40" s="123"/>
      <c r="C40" s="124"/>
      <c r="D40" s="125"/>
      <c r="E40" s="126"/>
      <c r="F40" s="132"/>
      <c r="G40" s="133"/>
      <c r="H40" s="127" t="str">
        <f>"Sub Total - "&amp;PROPER(C32)&amp;" : "</f>
        <v xml:space="preserve">Sub Total - Sinalização : </v>
      </c>
      <c r="I40" s="128">
        <f>SUM(I33:I39)</f>
        <v>57645.19000000001</v>
      </c>
      <c r="K40" s="129">
        <f>I40/$I$63</f>
        <v>2.3125295035087937E-2</v>
      </c>
      <c r="L40" s="122"/>
    </row>
    <row r="41" spans="2:12" x14ac:dyDescent="0.25">
      <c r="B41" s="116">
        <v>6</v>
      </c>
      <c r="C41" s="117" t="s">
        <v>22</v>
      </c>
      <c r="D41" s="118">
        <v>5.5900066512132952E-2</v>
      </c>
      <c r="E41" s="117"/>
      <c r="F41" s="117"/>
      <c r="G41" s="117"/>
      <c r="H41" s="117"/>
      <c r="I41" s="119"/>
      <c r="K41" s="92"/>
    </row>
    <row r="42" spans="2:12" x14ac:dyDescent="0.25">
      <c r="B42" s="29" t="s">
        <v>505</v>
      </c>
      <c r="C42" s="320" t="s">
        <v>506</v>
      </c>
      <c r="D42" s="6" t="s">
        <v>23</v>
      </c>
      <c r="E42" s="7">
        <f>E13*L42</f>
        <v>15.696409739999998</v>
      </c>
      <c r="F42" s="91">
        <v>5739.04</v>
      </c>
      <c r="G42" s="9">
        <f t="shared" ref="G42:G47" si="27">bdi_SD_dif</f>
        <v>0.15</v>
      </c>
      <c r="H42" s="8">
        <f t="shared" ref="H42:H47" si="28">TRUNC(F42*G42+F42,2)</f>
        <v>6599.89</v>
      </c>
      <c r="I42" s="10">
        <f t="shared" ref="I42:I47" si="29">TRUNC(H42*E42,2)</f>
        <v>103594.57</v>
      </c>
      <c r="K42" s="92">
        <f t="shared" ref="K42:K48" si="30">I42/$I$63</f>
        <v>4.1558627793282829E-2</v>
      </c>
      <c r="L42" s="27">
        <v>5.5E-2</v>
      </c>
    </row>
    <row r="43" spans="2:12" x14ac:dyDescent="0.25">
      <c r="B43" s="29" t="s">
        <v>507</v>
      </c>
      <c r="C43" s="320" t="s">
        <v>508</v>
      </c>
      <c r="D43" s="6" t="s">
        <v>23</v>
      </c>
      <c r="E43" s="7">
        <f>E42</f>
        <v>15.696409739999998</v>
      </c>
      <c r="F43" s="91">
        <v>163.52000000000001</v>
      </c>
      <c r="G43" s="9">
        <f t="shared" si="27"/>
        <v>0.15</v>
      </c>
      <c r="H43" s="8">
        <f t="shared" si="28"/>
        <v>188.04</v>
      </c>
      <c r="I43" s="10">
        <f t="shared" si="29"/>
        <v>2951.55</v>
      </c>
      <c r="K43" s="92">
        <f t="shared" si="30"/>
        <v>1.1840617501792221E-3</v>
      </c>
      <c r="L43" s="27"/>
    </row>
    <row r="44" spans="2:12" x14ac:dyDescent="0.25">
      <c r="B44" s="29" t="s">
        <v>566</v>
      </c>
      <c r="C44" s="320" t="s">
        <v>567</v>
      </c>
      <c r="D44" s="6" t="s">
        <v>23</v>
      </c>
      <c r="E44" s="7">
        <f>E16*L44</f>
        <v>4.0403079600000007</v>
      </c>
      <c r="F44" s="91">
        <v>5682.41</v>
      </c>
      <c r="G44" s="9">
        <f t="shared" si="27"/>
        <v>0.15</v>
      </c>
      <c r="H44" s="8">
        <f t="shared" si="28"/>
        <v>6534.77</v>
      </c>
      <c r="I44" s="10">
        <f t="shared" si="29"/>
        <v>26402.48</v>
      </c>
      <c r="K44" s="92">
        <f t="shared" si="30"/>
        <v>1.0591779464305841E-2</v>
      </c>
      <c r="L44" s="27">
        <v>1.2999999999999999E-3</v>
      </c>
    </row>
    <row r="45" spans="2:12" x14ac:dyDescent="0.25">
      <c r="B45" s="29" t="s">
        <v>479</v>
      </c>
      <c r="C45" s="320" t="s">
        <v>568</v>
      </c>
      <c r="D45" s="6" t="s">
        <v>23</v>
      </c>
      <c r="E45" s="7">
        <f>E44</f>
        <v>4.0403079600000007</v>
      </c>
      <c r="F45" s="91">
        <v>299.45</v>
      </c>
      <c r="G45" s="9">
        <f t="shared" si="27"/>
        <v>0.15</v>
      </c>
      <c r="H45" s="8">
        <f t="shared" si="28"/>
        <v>344.36</v>
      </c>
      <c r="I45" s="10">
        <f t="shared" si="29"/>
        <v>1391.32</v>
      </c>
      <c r="K45" s="92">
        <f t="shared" si="30"/>
        <v>5.5815039360991852E-4</v>
      </c>
      <c r="L45" s="27"/>
    </row>
    <row r="46" spans="2:12" x14ac:dyDescent="0.25">
      <c r="B46" s="29" t="s">
        <v>477</v>
      </c>
      <c r="C46" s="320" t="s">
        <v>499</v>
      </c>
      <c r="D46" s="6" t="s">
        <v>23</v>
      </c>
      <c r="E46" s="7">
        <f>E17*L46</f>
        <v>1.2590703000000001</v>
      </c>
      <c r="F46" s="91">
        <v>3292.48</v>
      </c>
      <c r="G46" s="9">
        <f t="shared" si="27"/>
        <v>0.15</v>
      </c>
      <c r="H46" s="8">
        <f t="shared" si="28"/>
        <v>3786.35</v>
      </c>
      <c r="I46" s="10">
        <f t="shared" si="29"/>
        <v>4767.28</v>
      </c>
      <c r="K46" s="92">
        <f t="shared" si="30"/>
        <v>1.912471040773289E-3</v>
      </c>
      <c r="L46" s="27">
        <v>4.4999999999999999E-4</v>
      </c>
    </row>
    <row r="47" spans="2:12" x14ac:dyDescent="0.25">
      <c r="B47" s="29" t="s">
        <v>478</v>
      </c>
      <c r="C47" s="320" t="s">
        <v>500</v>
      </c>
      <c r="D47" s="6" t="s">
        <v>23</v>
      </c>
      <c r="E47" s="7">
        <f>E46</f>
        <v>1.2590703000000001</v>
      </c>
      <c r="F47" s="91">
        <v>163.52000000000001</v>
      </c>
      <c r="G47" s="9">
        <f t="shared" si="27"/>
        <v>0.15</v>
      </c>
      <c r="H47" s="8">
        <f t="shared" si="28"/>
        <v>188.04</v>
      </c>
      <c r="I47" s="10">
        <f t="shared" si="29"/>
        <v>236.75</v>
      </c>
      <c r="K47" s="92">
        <f t="shared" si="30"/>
        <v>9.4976069981850481E-5</v>
      </c>
    </row>
    <row r="48" spans="2:12" s="120" customFormat="1" x14ac:dyDescent="0.25">
      <c r="B48" s="123"/>
      <c r="C48" s="124"/>
      <c r="D48" s="125"/>
      <c r="E48" s="126"/>
      <c r="F48" s="132"/>
      <c r="G48" s="133"/>
      <c r="H48" s="127" t="str">
        <f>"Sub Total - "&amp;PROPER(C41)&amp;" : "</f>
        <v xml:space="preserve">Sub Total - Ligantes Asfálticos : </v>
      </c>
      <c r="I48" s="128">
        <f>SUM(I42:I47)</f>
        <v>139343.95000000001</v>
      </c>
      <c r="K48" s="129">
        <f t="shared" si="30"/>
        <v>5.5900066512132952E-2</v>
      </c>
      <c r="L48" s="122"/>
    </row>
    <row r="49" spans="2:12" x14ac:dyDescent="0.25">
      <c r="B49" s="116">
        <v>7</v>
      </c>
      <c r="C49" s="117" t="s">
        <v>21</v>
      </c>
      <c r="D49" s="118">
        <v>2.0521847510858938E-2</v>
      </c>
      <c r="E49" s="117"/>
      <c r="F49" s="117"/>
      <c r="G49" s="117"/>
      <c r="H49" s="117"/>
      <c r="I49" s="119"/>
      <c r="K49" s="92"/>
    </row>
    <row r="50" spans="2:12" ht="30" x14ac:dyDescent="0.25">
      <c r="B50" s="29">
        <v>5914389</v>
      </c>
      <c r="C50" s="320" t="s">
        <v>128</v>
      </c>
      <c r="D50" s="6" t="s">
        <v>133</v>
      </c>
      <c r="E50" s="7">
        <f>VLOOKUP(B50,Transp.!$B$127:$K$132,10,FALSE)</f>
        <v>51388.04270000002</v>
      </c>
      <c r="F50" s="91">
        <v>0.71</v>
      </c>
      <c r="G50" s="9">
        <f t="shared" ref="G50:G55" si="31">bdi_SD</f>
        <v>0.25290000000000001</v>
      </c>
      <c r="H50" s="8">
        <f t="shared" ref="H50:H55" si="32">TRUNC(F50*G50+F50,2)</f>
        <v>0.88</v>
      </c>
      <c r="I50" s="10">
        <f t="shared" ref="I50:I55" si="33">TRUNC(H50*E50,2)</f>
        <v>45221.47</v>
      </c>
      <c r="K50" s="92">
        <f t="shared" ref="K50:K56" si="34">I50/$I$63</f>
        <v>1.8141319955236126E-2</v>
      </c>
    </row>
    <row r="51" spans="2:12" ht="30" x14ac:dyDescent="0.25">
      <c r="B51" s="29">
        <v>5914366</v>
      </c>
      <c r="C51" s="320" t="s">
        <v>486</v>
      </c>
      <c r="D51" s="6" t="s">
        <v>133</v>
      </c>
      <c r="E51" s="7">
        <f>VLOOKUP(B51,Transp.!$B$127:$K$132,10,FALSE)</f>
        <v>55.471500000000006</v>
      </c>
      <c r="F51" s="91">
        <v>0.55000000000000004</v>
      </c>
      <c r="G51" s="9">
        <f t="shared" si="31"/>
        <v>0.25290000000000001</v>
      </c>
      <c r="H51" s="8">
        <f t="shared" si="32"/>
        <v>0.68</v>
      </c>
      <c r="I51" s="10">
        <f t="shared" si="33"/>
        <v>37.72</v>
      </c>
      <c r="K51" s="92">
        <f t="shared" si="34"/>
        <v>1.5131984623929885E-5</v>
      </c>
    </row>
    <row r="52" spans="2:12" ht="30" x14ac:dyDescent="0.25">
      <c r="B52" s="29">
        <v>5914344</v>
      </c>
      <c r="C52" s="320" t="s">
        <v>130</v>
      </c>
      <c r="D52" s="6" t="s">
        <v>133</v>
      </c>
      <c r="E52" s="7">
        <f>VLOOKUP(B52,Transp.!$B$127:$K$132,10,FALSE)</f>
        <v>577.64</v>
      </c>
      <c r="F52" s="91">
        <v>0.78</v>
      </c>
      <c r="G52" s="9">
        <f t="shared" si="31"/>
        <v>0.25290000000000001</v>
      </c>
      <c r="H52" s="8">
        <f t="shared" si="32"/>
        <v>0.97</v>
      </c>
      <c r="I52" s="10">
        <f t="shared" si="33"/>
        <v>560.30999999999995</v>
      </c>
      <c r="K52" s="92">
        <f t="shared" si="34"/>
        <v>2.2477736756718327E-4</v>
      </c>
    </row>
    <row r="53" spans="2:12" ht="30" x14ac:dyDescent="0.25">
      <c r="B53" s="29">
        <v>5914614</v>
      </c>
      <c r="C53" s="320" t="s">
        <v>450</v>
      </c>
      <c r="D53" s="6" t="s">
        <v>133</v>
      </c>
      <c r="E53" s="7">
        <f>VLOOKUP(B53,Transp.!$B$127:$K$132,10,FALSE)</f>
        <v>1824.0440000000001</v>
      </c>
      <c r="F53" s="91">
        <v>1.64</v>
      </c>
      <c r="G53" s="9">
        <f t="shared" si="31"/>
        <v>0.25290000000000001</v>
      </c>
      <c r="H53" s="8">
        <f t="shared" si="32"/>
        <v>2.0499999999999998</v>
      </c>
      <c r="I53" s="10">
        <f t="shared" si="33"/>
        <v>3739.29</v>
      </c>
      <c r="K53" s="92">
        <f t="shared" si="34"/>
        <v>1.500076319841325E-3</v>
      </c>
    </row>
    <row r="54" spans="2:12" ht="30" x14ac:dyDescent="0.25">
      <c r="B54" s="29">
        <v>5914479</v>
      </c>
      <c r="C54" s="320" t="s">
        <v>131</v>
      </c>
      <c r="D54" s="6" t="s">
        <v>133</v>
      </c>
      <c r="E54" s="7">
        <f>VLOOKUP(B54,Transp.!$B$127:$K$132,10,FALSE)</f>
        <v>1913.6591999999996</v>
      </c>
      <c r="F54" s="91">
        <v>0.67</v>
      </c>
      <c r="G54" s="9">
        <f t="shared" si="31"/>
        <v>0.25290000000000001</v>
      </c>
      <c r="H54" s="8">
        <f t="shared" si="32"/>
        <v>0.83</v>
      </c>
      <c r="I54" s="10">
        <f t="shared" si="33"/>
        <v>1588.33</v>
      </c>
      <c r="K54" s="92">
        <f t="shared" si="34"/>
        <v>6.3718412348161594E-4</v>
      </c>
    </row>
    <row r="55" spans="2:12" ht="30" x14ac:dyDescent="0.25">
      <c r="B55" s="29">
        <v>5915324</v>
      </c>
      <c r="C55" s="320" t="s">
        <v>132</v>
      </c>
      <c r="D55" s="6" t="s">
        <v>133</v>
      </c>
      <c r="E55" s="7">
        <f>VLOOKUP(B55,Transp.!$B$127:$K$132,10,FALSE)</f>
        <v>6.157</v>
      </c>
      <c r="F55" s="91">
        <v>1.0900000000000001</v>
      </c>
      <c r="G55" s="9">
        <f t="shared" si="31"/>
        <v>0.25290000000000001</v>
      </c>
      <c r="H55" s="8">
        <f t="shared" si="32"/>
        <v>1.36</v>
      </c>
      <c r="I55" s="10">
        <f t="shared" si="33"/>
        <v>8.3699999999999992</v>
      </c>
      <c r="K55" s="92">
        <f t="shared" si="34"/>
        <v>3.3577601087564457E-6</v>
      </c>
    </row>
    <row r="56" spans="2:12" s="120" customFormat="1" x14ac:dyDescent="0.25">
      <c r="B56" s="123"/>
      <c r="C56" s="124"/>
      <c r="D56" s="125"/>
      <c r="E56" s="126"/>
      <c r="F56" s="132"/>
      <c r="G56" s="133"/>
      <c r="H56" s="127" t="str">
        <f>"Sub Total - "&amp;PROPER(C49)&amp;" : "</f>
        <v xml:space="preserve">Sub Total - Transportes : </v>
      </c>
      <c r="I56" s="128">
        <f>SUM(I50:I55)</f>
        <v>51155.490000000005</v>
      </c>
      <c r="K56" s="129">
        <f t="shared" si="34"/>
        <v>2.0521847510858938E-2</v>
      </c>
      <c r="L56" s="122"/>
    </row>
    <row r="57" spans="2:12" x14ac:dyDescent="0.25">
      <c r="B57" s="116">
        <v>8</v>
      </c>
      <c r="C57" s="117" t="s">
        <v>573</v>
      </c>
      <c r="D57" s="118">
        <v>0.10409478765029632</v>
      </c>
      <c r="E57" s="117"/>
      <c r="F57" s="117"/>
      <c r="G57" s="117"/>
      <c r="H57" s="117"/>
      <c r="I57" s="119"/>
      <c r="K57" s="92"/>
    </row>
    <row r="58" spans="2:12" x14ac:dyDescent="0.25">
      <c r="B58" s="29" t="s">
        <v>480</v>
      </c>
      <c r="C58" s="320" t="s">
        <v>136</v>
      </c>
      <c r="D58" s="6" t="s">
        <v>135</v>
      </c>
      <c r="E58" s="7">
        <v>1</v>
      </c>
      <c r="F58" s="8">
        <v>29913.689999999995</v>
      </c>
      <c r="G58" s="9">
        <f>bdi_SD</f>
        <v>0.25290000000000001</v>
      </c>
      <c r="H58" s="8">
        <f t="shared" ref="H58:H60" si="35">TRUNC(F58*G58+F58,2)</f>
        <v>37478.86</v>
      </c>
      <c r="I58" s="10">
        <f t="shared" ref="I58:I60" si="36">TRUNC(H58*E58,2)</f>
        <v>37478.86</v>
      </c>
      <c r="K58" s="92">
        <f>I58/$I$63</f>
        <v>1.5035247434846787E-2</v>
      </c>
    </row>
    <row r="59" spans="2:12" x14ac:dyDescent="0.25">
      <c r="B59" s="29" t="s">
        <v>481</v>
      </c>
      <c r="C59" s="320" t="s">
        <v>137</v>
      </c>
      <c r="D59" s="6" t="s">
        <v>135</v>
      </c>
      <c r="E59" s="7">
        <v>1</v>
      </c>
      <c r="F59" s="8">
        <v>22986.092805696</v>
      </c>
      <c r="G59" s="9">
        <f>bdi_SD</f>
        <v>0.25290000000000001</v>
      </c>
      <c r="H59" s="8">
        <f t="shared" si="35"/>
        <v>28799.27</v>
      </c>
      <c r="I59" s="10">
        <f t="shared" si="36"/>
        <v>28799.27</v>
      </c>
      <c r="K59" s="92">
        <f>I59/$I$63</f>
        <v>1.1553290318674582E-2</v>
      </c>
    </row>
    <row r="60" spans="2:12" x14ac:dyDescent="0.25">
      <c r="B60" s="29" t="s">
        <v>482</v>
      </c>
      <c r="C60" s="320" t="s">
        <v>134</v>
      </c>
      <c r="D60" s="6" t="s">
        <v>365</v>
      </c>
      <c r="E60" s="7">
        <v>30</v>
      </c>
      <c r="F60" s="8">
        <v>5140.143</v>
      </c>
      <c r="G60" s="9">
        <f>bdi_SD</f>
        <v>0.25290000000000001</v>
      </c>
      <c r="H60" s="8">
        <f t="shared" si="35"/>
        <v>6440.08</v>
      </c>
      <c r="I60" s="10">
        <f t="shared" si="36"/>
        <v>193202.4</v>
      </c>
      <c r="K60" s="92">
        <f>I60/$I$63</f>
        <v>7.7506249896774959E-2</v>
      </c>
    </row>
    <row r="61" spans="2:12" x14ac:dyDescent="0.25">
      <c r="B61" s="11"/>
      <c r="C61" s="12"/>
      <c r="D61" s="13"/>
      <c r="E61" s="14"/>
      <c r="F61" s="15"/>
      <c r="G61" s="16"/>
      <c r="H61" s="17" t="str">
        <f>"Sub Total - "&amp;PROPER(C57)&amp;" : "</f>
        <v xml:space="preserve">Sub Total - Mobilização E Desmobilização, Canteiro E Adm. Local : </v>
      </c>
      <c r="I61" s="18">
        <f>SUM(I58:I60)</f>
        <v>259480.53</v>
      </c>
      <c r="K61" s="93">
        <f>I61/$I$63</f>
        <v>0.10409478765029632</v>
      </c>
    </row>
    <row r="62" spans="2:12" s="120" customFormat="1" ht="9.9499999999999993" customHeight="1" x14ac:dyDescent="0.25">
      <c r="K62" s="121"/>
      <c r="L62" s="122"/>
    </row>
    <row r="63" spans="2:12" x14ac:dyDescent="0.25">
      <c r="B63" s="20"/>
      <c r="C63" s="21"/>
      <c r="D63" s="21"/>
      <c r="E63" s="21"/>
      <c r="F63" s="21"/>
      <c r="G63" s="21"/>
      <c r="H63" s="22" t="s">
        <v>30</v>
      </c>
      <c r="I63" s="23">
        <f>I56+I48+I40+I31+I27+I22+I11+I61</f>
        <v>2492733.17</v>
      </c>
    </row>
    <row r="64" spans="2:12" s="120" customFormat="1" ht="9.9499999999999993" customHeight="1" x14ac:dyDescent="0.25">
      <c r="L64" s="122"/>
    </row>
  </sheetData>
  <mergeCells count="1">
    <mergeCell ref="B2:I2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4" fitToHeight="0" orientation="landscape" r:id="rId1"/>
  <rowBreaks count="2" manualBreakCount="2">
    <brk id="27" max="9" man="1"/>
    <brk id="48" max="9" man="1"/>
  </rowBreaks>
  <ignoredErrors>
    <ignoredError sqref="E44 E4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56"/>
  <sheetViews>
    <sheetView view="pageBreakPreview" topLeftCell="A16" zoomScale="110" zoomScaleNormal="75" zoomScaleSheetLayoutView="110" workbookViewId="0">
      <selection activeCell="G44" sqref="G44"/>
    </sheetView>
  </sheetViews>
  <sheetFormatPr defaultRowHeight="12.75" x14ac:dyDescent="0.25"/>
  <cols>
    <col min="1" max="1" width="1" style="191" customWidth="1"/>
    <col min="2" max="2" width="24.5703125" style="195" customWidth="1"/>
    <col min="3" max="3" width="11.5703125" style="195" customWidth="1"/>
    <col min="4" max="4" width="12.85546875" style="195" customWidth="1"/>
    <col min="5" max="5" width="11.85546875" style="195" bestFit="1" customWidth="1"/>
    <col min="6" max="6" width="11.85546875" style="195" customWidth="1"/>
    <col min="7" max="7" width="12.140625" style="195" customWidth="1"/>
    <col min="8" max="8" width="9.5703125" style="195" customWidth="1"/>
    <col min="9" max="9" width="13.42578125" style="195" bestFit="1" customWidth="1"/>
    <col min="10" max="10" width="16" style="195" customWidth="1"/>
    <col min="11" max="11" width="9.140625" style="195" customWidth="1"/>
    <col min="12" max="12" width="13.42578125" style="195" bestFit="1" customWidth="1"/>
    <col min="13" max="13" width="14.140625" style="195" customWidth="1"/>
    <col min="14" max="14" width="17.140625" style="195" customWidth="1"/>
    <col min="15" max="15" width="1" style="191" customWidth="1"/>
    <col min="16" max="16" width="11.42578125" style="194" bestFit="1" customWidth="1"/>
    <col min="17" max="17" width="13.28515625" style="194" bestFit="1" customWidth="1"/>
    <col min="18" max="18" width="7.28515625" style="195" bestFit="1" customWidth="1"/>
    <col min="19" max="19" width="10.85546875" style="195" bestFit="1" customWidth="1"/>
    <col min="20" max="16384" width="9.140625" style="195"/>
  </cols>
  <sheetData>
    <row r="1" spans="2:21" s="191" customFormat="1" ht="5.0999999999999996" customHeight="1" thickBot="1" x14ac:dyDescent="0.3">
      <c r="P1" s="192"/>
      <c r="Q1" s="192"/>
    </row>
    <row r="2" spans="2:21" ht="15" customHeight="1" thickTop="1" x14ac:dyDescent="0.25">
      <c r="B2" s="196" t="str">
        <f>CONCATENATE("RODOVIA: ",rodovia)</f>
        <v>RODOVIA: BR-285/RS</v>
      </c>
      <c r="C2" s="197"/>
      <c r="D2" s="197"/>
      <c r="E2" s="197"/>
      <c r="F2" s="197"/>
      <c r="G2" s="197"/>
      <c r="H2" s="197"/>
      <c r="I2" s="198"/>
      <c r="J2" s="198"/>
      <c r="K2" s="199"/>
      <c r="L2" s="199"/>
      <c r="M2" s="199"/>
      <c r="N2" s="200"/>
    </row>
    <row r="3" spans="2:21" ht="15" customHeight="1" x14ac:dyDescent="0.25">
      <c r="B3" s="201" t="str">
        <f>CONCATENATE("LOCAL DA OBRA: ",local," - ",lado)</f>
        <v>LOCAL DA OBRA: km 446,200 ao km 448,600 - LD</v>
      </c>
      <c r="C3" s="202"/>
      <c r="D3" s="202"/>
      <c r="E3" s="202"/>
      <c r="F3" s="202"/>
      <c r="G3" s="202"/>
      <c r="H3" s="202"/>
      <c r="I3" s="203"/>
      <c r="J3" s="203"/>
      <c r="K3" s="203"/>
      <c r="L3" s="191"/>
      <c r="M3" s="191"/>
      <c r="N3" s="204"/>
    </row>
    <row r="4" spans="2:21" ht="15" customHeight="1" thickBot="1" x14ac:dyDescent="0.3">
      <c r="B4" s="205"/>
      <c r="C4" s="206"/>
      <c r="D4" s="206"/>
      <c r="E4" s="206"/>
      <c r="F4" s="206"/>
      <c r="G4" s="206"/>
      <c r="H4" s="206"/>
      <c r="I4" s="207"/>
      <c r="J4" s="207"/>
      <c r="K4" s="208"/>
      <c r="L4" s="208"/>
      <c r="M4" s="208"/>
      <c r="N4" s="209" t="str">
        <f>CONCATENATE("DATA-BASE DO ORÇAMENTO: ",data_sicro_txt)</f>
        <v>DATA-BASE DO ORÇAMENTO: outubro de 2022</v>
      </c>
    </row>
    <row r="5" spans="2:21" ht="15" customHeight="1" thickTop="1" thickBot="1" x14ac:dyDescent="0.3">
      <c r="B5" s="747" t="s">
        <v>34</v>
      </c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749"/>
      <c r="O5" s="193"/>
    </row>
    <row r="6" spans="2:21" ht="14.25" thickTop="1" x14ac:dyDescent="0.25">
      <c r="B6" s="750" t="s">
        <v>37</v>
      </c>
      <c r="C6" s="752" t="s">
        <v>535</v>
      </c>
      <c r="D6" s="752" t="s">
        <v>536</v>
      </c>
      <c r="E6" s="752" t="s">
        <v>537</v>
      </c>
      <c r="F6" s="752" t="s">
        <v>39</v>
      </c>
      <c r="G6" s="731" t="s">
        <v>35</v>
      </c>
      <c r="H6" s="731"/>
      <c r="I6" s="731"/>
      <c r="J6" s="731"/>
      <c r="K6" s="731" t="s">
        <v>36</v>
      </c>
      <c r="L6" s="731"/>
      <c r="M6" s="731"/>
      <c r="N6" s="732" t="s">
        <v>329</v>
      </c>
      <c r="O6" s="210"/>
      <c r="P6" s="734" t="s">
        <v>538</v>
      </c>
      <c r="Q6" s="734" t="s">
        <v>539</v>
      </c>
    </row>
    <row r="7" spans="2:21" ht="27" x14ac:dyDescent="0.25">
      <c r="B7" s="751"/>
      <c r="C7" s="753"/>
      <c r="D7" s="753"/>
      <c r="E7" s="753"/>
      <c r="F7" s="753"/>
      <c r="G7" s="211" t="s">
        <v>38</v>
      </c>
      <c r="H7" s="211" t="s">
        <v>540</v>
      </c>
      <c r="I7" s="211" t="s">
        <v>541</v>
      </c>
      <c r="J7" s="211" t="s">
        <v>542</v>
      </c>
      <c r="K7" s="211" t="s">
        <v>40</v>
      </c>
      <c r="L7" s="211" t="s">
        <v>541</v>
      </c>
      <c r="M7" s="211" t="s">
        <v>542</v>
      </c>
      <c r="N7" s="733"/>
      <c r="O7" s="212"/>
      <c r="P7" s="734"/>
      <c r="Q7" s="734"/>
      <c r="S7" s="194" t="s">
        <v>543</v>
      </c>
      <c r="T7" s="194" t="s">
        <v>35</v>
      </c>
      <c r="U7" s="194" t="s">
        <v>36</v>
      </c>
    </row>
    <row r="8" spans="2:21" ht="14.1" customHeight="1" x14ac:dyDescent="0.25">
      <c r="B8" s="213" t="s">
        <v>41</v>
      </c>
      <c r="C8" s="214" t="s">
        <v>544</v>
      </c>
      <c r="D8" s="215">
        <f>VLOOKUP(C8,$G$30:$I$41,3,FALSE)</f>
        <v>0</v>
      </c>
      <c r="E8" s="216">
        <v>0</v>
      </c>
      <c r="F8" s="216">
        <v>0.17</v>
      </c>
      <c r="G8" s="217">
        <f>P8*1000</f>
        <v>3460.6112666061613</v>
      </c>
      <c r="H8" s="216">
        <v>3.6499999999999998E-2</v>
      </c>
      <c r="I8" s="218">
        <f>ROUND((G8/(1-(F8+H8)))*(1+E8),2)</f>
        <v>4361.2</v>
      </c>
      <c r="J8" s="219">
        <f>TRUNC(I8*D8,2)</f>
        <v>0</v>
      </c>
      <c r="K8" s="314">
        <v>387</v>
      </c>
      <c r="L8" s="221">
        <f>ROUND(((($C$51+$D$51*K8)*$M$49)/(1-F8))*(1+E8),2)</f>
        <v>299.45</v>
      </c>
      <c r="M8" s="219">
        <f>TRUNC(L8*D8,2)</f>
        <v>0</v>
      </c>
      <c r="N8" s="222">
        <f>M8+J8</f>
        <v>0</v>
      </c>
      <c r="P8" s="223">
        <v>3.4606112666061613</v>
      </c>
      <c r="Q8" s="224" t="s">
        <v>545</v>
      </c>
      <c r="S8" s="194">
        <f>K8</f>
        <v>387</v>
      </c>
      <c r="T8" s="194">
        <f>I8</f>
        <v>4361.2</v>
      </c>
      <c r="U8" s="194">
        <f>L8</f>
        <v>299.45</v>
      </c>
    </row>
    <row r="9" spans="2:21" ht="14.1" customHeight="1" x14ac:dyDescent="0.25">
      <c r="B9" s="225" t="s">
        <v>42</v>
      </c>
      <c r="C9" s="226" t="s">
        <v>544</v>
      </c>
      <c r="D9" s="227">
        <f>VLOOKUP(C9,$G$30:$I$41,3,FALSE)</f>
        <v>0</v>
      </c>
      <c r="E9" s="228">
        <f>$E$8</f>
        <v>0</v>
      </c>
      <c r="F9" s="228">
        <f>$F$8</f>
        <v>0.17</v>
      </c>
      <c r="G9" s="229">
        <f>1000*P9</f>
        <v>3791.5022171784831</v>
      </c>
      <c r="H9" s="228">
        <f>$H$8</f>
        <v>3.6499999999999998E-2</v>
      </c>
      <c r="I9" s="230">
        <f>ROUND((G9/(1-(F9+H9)))*(1+E9),2)</f>
        <v>4778.2</v>
      </c>
      <c r="J9" s="231">
        <f>TRUNC(I9*D9,2)</f>
        <v>0</v>
      </c>
      <c r="K9" s="315">
        <v>682</v>
      </c>
      <c r="L9" s="233">
        <f>ROUND(((($C$51+$D$51*K9)*$M$49)/(1-F9))*(1+E9),2)</f>
        <v>478.45</v>
      </c>
      <c r="M9" s="231">
        <f>TRUNC(L9*D9,2)</f>
        <v>0</v>
      </c>
      <c r="N9" s="234">
        <f>M9+J9</f>
        <v>0</v>
      </c>
      <c r="P9" s="223">
        <v>3.7915022171784831</v>
      </c>
      <c r="Q9" s="224" t="s">
        <v>546</v>
      </c>
      <c r="S9" s="194">
        <f t="shared" ref="S9:S26" si="0">K9</f>
        <v>682</v>
      </c>
      <c r="T9" s="194">
        <f t="shared" ref="T9:T26" si="1">I9</f>
        <v>4778.2</v>
      </c>
      <c r="U9" s="194">
        <f t="shared" ref="U9:U26" si="2">L9</f>
        <v>478.45</v>
      </c>
    </row>
    <row r="10" spans="2:21" ht="14.1" customHeight="1" x14ac:dyDescent="0.25">
      <c r="B10" s="235" t="s">
        <v>43</v>
      </c>
      <c r="C10" s="236" t="s">
        <v>544</v>
      </c>
      <c r="D10" s="237">
        <f>VLOOKUP(C10,$G$30:$I$41,3,FALSE)</f>
        <v>0</v>
      </c>
      <c r="E10" s="238">
        <f>$E$8</f>
        <v>0</v>
      </c>
      <c r="F10" s="238">
        <f>$F$8</f>
        <v>0.17</v>
      </c>
      <c r="G10" s="239">
        <f>1000*P10</f>
        <v>3545.617203229503</v>
      </c>
      <c r="H10" s="238">
        <f>$H$8</f>
        <v>3.6499999999999998E-2</v>
      </c>
      <c r="I10" s="240">
        <f>ROUND((G10/(1-(F10+H10)))*(1+E10),2)</f>
        <v>4468.33</v>
      </c>
      <c r="J10" s="241">
        <f>TRUNC(I10*D10,2)</f>
        <v>0</v>
      </c>
      <c r="K10" s="316">
        <v>1208</v>
      </c>
      <c r="L10" s="243">
        <f>ROUND(((($C$51+$D$51*K10)*$M$49)/(1-F10))*(1+E10),2)</f>
        <v>797.63</v>
      </c>
      <c r="M10" s="241">
        <f>TRUNC(L10*D10,2)</f>
        <v>0</v>
      </c>
      <c r="N10" s="244">
        <f>M10+J10</f>
        <v>0</v>
      </c>
      <c r="P10" s="223">
        <v>3.545617203229503</v>
      </c>
      <c r="Q10" s="224" t="s">
        <v>547</v>
      </c>
      <c r="S10" s="194">
        <f t="shared" si="0"/>
        <v>1208</v>
      </c>
      <c r="T10" s="194">
        <f t="shared" si="1"/>
        <v>4468.33</v>
      </c>
      <c r="U10" s="194">
        <f t="shared" si="2"/>
        <v>797.63</v>
      </c>
    </row>
    <row r="11" spans="2:21" ht="5.0999999999999996" customHeight="1" x14ac:dyDescent="0.25">
      <c r="B11" s="245"/>
      <c r="C11" s="246"/>
      <c r="D11" s="247"/>
      <c r="E11" s="248"/>
      <c r="F11" s="248"/>
      <c r="G11" s="249"/>
      <c r="H11" s="248"/>
      <c r="I11" s="250"/>
      <c r="J11" s="250"/>
      <c r="K11" s="191"/>
      <c r="L11" s="250"/>
      <c r="M11" s="250"/>
      <c r="N11" s="251"/>
      <c r="P11" s="223"/>
      <c r="Q11" s="224"/>
      <c r="S11" s="194"/>
      <c r="T11" s="194"/>
      <c r="U11" s="194"/>
    </row>
    <row r="12" spans="2:21" ht="14.1" customHeight="1" x14ac:dyDescent="0.25">
      <c r="B12" s="213" t="s">
        <v>407</v>
      </c>
      <c r="C12" s="214" t="s">
        <v>299</v>
      </c>
      <c r="D12" s="215">
        <f>VLOOKUP(C12,$G$30:$I$41,3,FALSE)</f>
        <v>15.696409739999998</v>
      </c>
      <c r="E12" s="252">
        <f>E8</f>
        <v>0</v>
      </c>
      <c r="F12" s="252">
        <f>F8</f>
        <v>0.17</v>
      </c>
      <c r="G12" s="217">
        <f>P12*1000</f>
        <v>4553.9306624784367</v>
      </c>
      <c r="H12" s="252">
        <f>H8</f>
        <v>3.6499999999999998E-2</v>
      </c>
      <c r="I12" s="218">
        <f>ROUND((G12/(1-(F12+H12)))*(1+E12),2)</f>
        <v>5739.04</v>
      </c>
      <c r="J12" s="219">
        <f>TRUNC(I12*D12,2)</f>
        <v>90082.32</v>
      </c>
      <c r="K12" s="314">
        <v>163</v>
      </c>
      <c r="L12" s="221">
        <f>ROUND(((($C$51+$D$51*K12)*$M$49)/(1-F12))*(1+E12),2)</f>
        <v>163.52000000000001</v>
      </c>
      <c r="M12" s="219">
        <f>TRUNC(L12*D12,2)</f>
        <v>2566.67</v>
      </c>
      <c r="N12" s="222">
        <f>M12+J12</f>
        <v>92648.99</v>
      </c>
      <c r="P12" s="223">
        <v>4.5539306624784368</v>
      </c>
      <c r="Q12" s="224" t="s">
        <v>545</v>
      </c>
      <c r="R12" s="253"/>
      <c r="S12" s="194">
        <f t="shared" si="0"/>
        <v>163</v>
      </c>
      <c r="T12" s="194">
        <f t="shared" si="1"/>
        <v>5739.04</v>
      </c>
      <c r="U12" s="194">
        <f t="shared" si="2"/>
        <v>163.52000000000001</v>
      </c>
    </row>
    <row r="13" spans="2:21" ht="14.1" customHeight="1" x14ac:dyDescent="0.25">
      <c r="B13" s="225" t="s">
        <v>44</v>
      </c>
      <c r="C13" s="226" t="s">
        <v>299</v>
      </c>
      <c r="D13" s="227">
        <f>VLOOKUP(C13,$G$30:$I$41,3,FALSE)</f>
        <v>15.696409739999998</v>
      </c>
      <c r="E13" s="228">
        <f>$E$8</f>
        <v>0</v>
      </c>
      <c r="F13" s="228">
        <f>$F$8</f>
        <v>0.17</v>
      </c>
      <c r="G13" s="229">
        <f>1000*P13</f>
        <v>4553.9306624784367</v>
      </c>
      <c r="H13" s="228">
        <f>$H$8</f>
        <v>3.6499999999999998E-2</v>
      </c>
      <c r="I13" s="230">
        <f>ROUND((G13/(1-(F13+H13)))*(1+E13),2)</f>
        <v>5739.04</v>
      </c>
      <c r="J13" s="231">
        <f>TRUNC(I13*D13,2)</f>
        <v>90082.32</v>
      </c>
      <c r="K13" s="317">
        <v>386</v>
      </c>
      <c r="L13" s="233">
        <f>ROUND(((($C$51+$D$51*K13)*$M$49)/(1-F13))*(1+E13),2)</f>
        <v>298.83999999999997</v>
      </c>
      <c r="M13" s="231">
        <f>TRUNC(L13*D13,2)</f>
        <v>4690.71</v>
      </c>
      <c r="N13" s="234">
        <f>M13+J13</f>
        <v>94773.030000000013</v>
      </c>
      <c r="P13" s="223">
        <v>4.5539306624784368</v>
      </c>
      <c r="Q13" s="224" t="s">
        <v>545</v>
      </c>
      <c r="S13" s="194">
        <f t="shared" si="0"/>
        <v>386</v>
      </c>
      <c r="T13" s="194">
        <f t="shared" si="1"/>
        <v>5739.04</v>
      </c>
      <c r="U13" s="194">
        <f t="shared" si="2"/>
        <v>298.83999999999997</v>
      </c>
    </row>
    <row r="14" spans="2:21" ht="14.1" customHeight="1" x14ac:dyDescent="0.25">
      <c r="B14" s="235" t="s">
        <v>45</v>
      </c>
      <c r="C14" s="236" t="s">
        <v>299</v>
      </c>
      <c r="D14" s="237">
        <f>VLOOKUP(C14,$G$30:$I$41,3,FALSE)</f>
        <v>15.696409739999998</v>
      </c>
      <c r="E14" s="238">
        <f>$E$8</f>
        <v>0</v>
      </c>
      <c r="F14" s="238">
        <f>$F$8</f>
        <v>0.17</v>
      </c>
      <c r="G14" s="239">
        <f>1000*P14</f>
        <v>4553.9306624784367</v>
      </c>
      <c r="H14" s="238">
        <f>$H$8</f>
        <v>3.6499999999999998E-2</v>
      </c>
      <c r="I14" s="240">
        <f>ROUND((G14/(1-(F14+H14)))*(1+E14),2)</f>
        <v>5739.04</v>
      </c>
      <c r="J14" s="241">
        <f>TRUNC(I14*D14,2)</f>
        <v>90082.32</v>
      </c>
      <c r="K14" s="316">
        <v>348</v>
      </c>
      <c r="L14" s="243">
        <f>ROUND(((($C$51+$D$51*K14)*$M$49)/(1-F14))*(1+E14),2)</f>
        <v>275.77999999999997</v>
      </c>
      <c r="M14" s="241">
        <f>TRUNC(L14*D14,2)</f>
        <v>4328.75</v>
      </c>
      <c r="N14" s="244">
        <f>M14+J14</f>
        <v>94411.07</v>
      </c>
      <c r="P14" s="223">
        <v>4.5539306624784368</v>
      </c>
      <c r="Q14" s="224" t="s">
        <v>545</v>
      </c>
      <c r="S14" s="194">
        <f t="shared" si="0"/>
        <v>348</v>
      </c>
      <c r="T14" s="194">
        <f t="shared" si="1"/>
        <v>5739.04</v>
      </c>
      <c r="U14" s="194">
        <f t="shared" si="2"/>
        <v>275.77999999999997</v>
      </c>
    </row>
    <row r="15" spans="2:21" ht="5.0999999999999996" customHeight="1" x14ac:dyDescent="0.25">
      <c r="B15" s="245"/>
      <c r="C15" s="246"/>
      <c r="D15" s="247"/>
      <c r="E15" s="248"/>
      <c r="F15" s="248"/>
      <c r="G15" s="249"/>
      <c r="H15" s="248"/>
      <c r="I15" s="250"/>
      <c r="J15" s="250"/>
      <c r="K15" s="191"/>
      <c r="L15" s="250"/>
      <c r="M15" s="250"/>
      <c r="N15" s="251"/>
      <c r="P15" s="223"/>
      <c r="Q15" s="224"/>
      <c r="S15" s="194"/>
      <c r="T15" s="194"/>
      <c r="U15" s="194"/>
    </row>
    <row r="16" spans="2:21" ht="14.1" customHeight="1" x14ac:dyDescent="0.25">
      <c r="B16" s="255" t="s">
        <v>41</v>
      </c>
      <c r="C16" s="256" t="s">
        <v>569</v>
      </c>
      <c r="D16" s="215">
        <f>VLOOKUP(C16,$G$30:$I$41,3,FALSE)</f>
        <v>4.0403079600000007</v>
      </c>
      <c r="E16" s="252">
        <f>$E$8</f>
        <v>0</v>
      </c>
      <c r="F16" s="252">
        <f>$F$8</f>
        <v>0.17</v>
      </c>
      <c r="G16" s="217">
        <f>P16*1000</f>
        <v>4508.9927058616749</v>
      </c>
      <c r="H16" s="252">
        <f t="shared" ref="H16:H18" si="3">$H$8</f>
        <v>3.6499999999999998E-2</v>
      </c>
      <c r="I16" s="218">
        <f>ROUND((G16/(1-(F16+H16)))*(1+E16),2)</f>
        <v>5682.41</v>
      </c>
      <c r="J16" s="219">
        <f>TRUNC(I16*D16,2)</f>
        <v>22958.68</v>
      </c>
      <c r="K16" s="220">
        <f>K8</f>
        <v>387</v>
      </c>
      <c r="L16" s="221">
        <f>ROUND(((($C$51+$D$51*K16)*$M$49)/(1-F16))*(1+E16),2)</f>
        <v>299.45</v>
      </c>
      <c r="M16" s="219">
        <f>TRUNC(L16*D16,2)</f>
        <v>1209.8699999999999</v>
      </c>
      <c r="N16" s="222">
        <f>M16+J16</f>
        <v>24168.55</v>
      </c>
      <c r="P16" s="223">
        <v>4.508992705861675</v>
      </c>
      <c r="Q16" s="224" t="s">
        <v>545</v>
      </c>
      <c r="S16" s="194">
        <f t="shared" si="0"/>
        <v>387</v>
      </c>
      <c r="T16" s="194">
        <f t="shared" si="1"/>
        <v>5682.41</v>
      </c>
      <c r="U16" s="194">
        <f t="shared" si="2"/>
        <v>299.45</v>
      </c>
    </row>
    <row r="17" spans="2:21" ht="14.1" customHeight="1" x14ac:dyDescent="0.25">
      <c r="B17" s="257" t="s">
        <v>42</v>
      </c>
      <c r="C17" s="258" t="s">
        <v>569</v>
      </c>
      <c r="D17" s="227">
        <f>VLOOKUP(C17,$G$30:$I$41,3,FALSE)</f>
        <v>4.0403079600000007</v>
      </c>
      <c r="E17" s="259">
        <f>$E$8</f>
        <v>0</v>
      </c>
      <c r="F17" s="259">
        <f>$F$8</f>
        <v>0.17</v>
      </c>
      <c r="G17" s="229">
        <f>1000*P17</f>
        <v>4663.57400195217</v>
      </c>
      <c r="H17" s="259">
        <f t="shared" si="3"/>
        <v>3.6499999999999998E-2</v>
      </c>
      <c r="I17" s="260">
        <f>ROUND((G17/(1-(F17+H17)))*(1+E17),2)</f>
        <v>5877.22</v>
      </c>
      <c r="J17" s="261">
        <f>TRUNC(I17*D17,2)</f>
        <v>23745.77</v>
      </c>
      <c r="K17" s="254">
        <f>K9</f>
        <v>682</v>
      </c>
      <c r="L17" s="233">
        <f>ROUND(((($C$51+$D$51*K17)*$M$49)/(1-F17))*(1+E17),2)</f>
        <v>478.45</v>
      </c>
      <c r="M17" s="261">
        <f>TRUNC(L17*D17,2)</f>
        <v>1933.08</v>
      </c>
      <c r="N17" s="262">
        <f>M17+J17</f>
        <v>25678.85</v>
      </c>
      <c r="P17" s="223">
        <v>4.6635740019521696</v>
      </c>
      <c r="Q17" s="224" t="s">
        <v>546</v>
      </c>
      <c r="S17" s="194">
        <f t="shared" si="0"/>
        <v>682</v>
      </c>
      <c r="T17" s="194">
        <f t="shared" si="1"/>
        <v>5877.22</v>
      </c>
      <c r="U17" s="194">
        <f t="shared" si="2"/>
        <v>478.45</v>
      </c>
    </row>
    <row r="18" spans="2:21" ht="14.1" customHeight="1" x14ac:dyDescent="0.25">
      <c r="B18" s="235" t="s">
        <v>43</v>
      </c>
      <c r="C18" s="236" t="s">
        <v>569</v>
      </c>
      <c r="D18" s="237">
        <f>VLOOKUP(C18,$G$30:$I$41,3,FALSE)</f>
        <v>4.0403079600000007</v>
      </c>
      <c r="E18" s="238">
        <f>$E$8</f>
        <v>0</v>
      </c>
      <c r="F18" s="238">
        <f>$F$8</f>
        <v>0.17</v>
      </c>
      <c r="G18" s="239">
        <f>1000*P18</f>
        <v>4851.1600071415805</v>
      </c>
      <c r="H18" s="238">
        <f t="shared" si="3"/>
        <v>3.6499999999999998E-2</v>
      </c>
      <c r="I18" s="240">
        <f>ROUND((G18/(1-(F18+H18)))*(1+E18),2)</f>
        <v>6113.62</v>
      </c>
      <c r="J18" s="241">
        <f>TRUNC(I18*D18,2)</f>
        <v>24700.9</v>
      </c>
      <c r="K18" s="242">
        <f>K10</f>
        <v>1208</v>
      </c>
      <c r="L18" s="243">
        <f>ROUND(((($C$51+$D$51*K18)*$M$49)/(1-F18))*(1+E18),2)</f>
        <v>797.63</v>
      </c>
      <c r="M18" s="241">
        <f>TRUNC(L18*D18,2)</f>
        <v>3222.67</v>
      </c>
      <c r="N18" s="244">
        <f>M18+J18</f>
        <v>27923.57</v>
      </c>
      <c r="P18" s="223">
        <v>4.8511600071415808</v>
      </c>
      <c r="Q18" s="224" t="s">
        <v>570</v>
      </c>
      <c r="S18" s="194">
        <f t="shared" si="0"/>
        <v>1208</v>
      </c>
      <c r="T18" s="194">
        <f t="shared" si="1"/>
        <v>6113.62</v>
      </c>
      <c r="U18" s="194">
        <f t="shared" si="2"/>
        <v>797.63</v>
      </c>
    </row>
    <row r="19" spans="2:21" ht="5.0999999999999996" customHeight="1" x14ac:dyDescent="0.25">
      <c r="B19" s="245"/>
      <c r="C19" s="246"/>
      <c r="D19" s="247"/>
      <c r="E19" s="248"/>
      <c r="F19" s="248"/>
      <c r="G19" s="249"/>
      <c r="H19" s="248"/>
      <c r="I19" s="250"/>
      <c r="J19" s="250"/>
      <c r="K19" s="191"/>
      <c r="L19" s="250"/>
      <c r="M19" s="250"/>
      <c r="N19" s="251"/>
      <c r="P19" s="223"/>
      <c r="Q19" s="224"/>
      <c r="S19" s="194"/>
      <c r="T19" s="194"/>
      <c r="U19" s="194"/>
    </row>
    <row r="20" spans="2:21" ht="14.1" customHeight="1" x14ac:dyDescent="0.25">
      <c r="B20" s="255" t="s">
        <v>407</v>
      </c>
      <c r="C20" s="256" t="s">
        <v>549</v>
      </c>
      <c r="D20" s="215">
        <f>VLOOKUP(C20,$G$30:$I$41,3,FALSE)</f>
        <v>0</v>
      </c>
      <c r="E20" s="252">
        <f>$E$8</f>
        <v>0</v>
      </c>
      <c r="F20" s="252">
        <f>$F$8</f>
        <v>0.17</v>
      </c>
      <c r="G20" s="217">
        <f>P20*1000</f>
        <v>3775.9549613404497</v>
      </c>
      <c r="H20" s="252">
        <f t="shared" ref="H20:H22" si="4">$H$8</f>
        <v>3.6499999999999998E-2</v>
      </c>
      <c r="I20" s="218">
        <f>ROUND((G20/(1-(F20+H20)))*(1+E20),2)</f>
        <v>4758.6099999999997</v>
      </c>
      <c r="J20" s="219">
        <f>TRUNC(I20*D20,2)</f>
        <v>0</v>
      </c>
      <c r="K20" s="220">
        <f>K12</f>
        <v>163</v>
      </c>
      <c r="L20" s="221">
        <f>ROUND(((($C$51+$D$51*K20)*$M$49)/(1-F20))*(1+E20),2)</f>
        <v>163.52000000000001</v>
      </c>
      <c r="M20" s="219">
        <f>TRUNC(L20*D20,2)</f>
        <v>0</v>
      </c>
      <c r="N20" s="222">
        <f>M20+J20</f>
        <v>0</v>
      </c>
      <c r="P20" s="223">
        <v>3.7759549613404495</v>
      </c>
      <c r="Q20" s="224" t="s">
        <v>548</v>
      </c>
      <c r="S20" s="194">
        <f t="shared" si="0"/>
        <v>163</v>
      </c>
      <c r="T20" s="194">
        <f t="shared" si="1"/>
        <v>4758.6099999999997</v>
      </c>
      <c r="U20" s="194">
        <f t="shared" si="2"/>
        <v>163.52000000000001</v>
      </c>
    </row>
    <row r="21" spans="2:21" ht="14.1" customHeight="1" x14ac:dyDescent="0.25">
      <c r="B21" s="257" t="s">
        <v>44</v>
      </c>
      <c r="C21" s="258" t="s">
        <v>549</v>
      </c>
      <c r="D21" s="227">
        <f>VLOOKUP(C21,$G$30:$I$41,3,FALSE)</f>
        <v>0</v>
      </c>
      <c r="E21" s="259">
        <f>$E$8</f>
        <v>0</v>
      </c>
      <c r="F21" s="259">
        <f>$F$8</f>
        <v>0.17</v>
      </c>
      <c r="G21" s="229">
        <f>1000*P21</f>
        <v>3775.9549613404497</v>
      </c>
      <c r="H21" s="259">
        <f t="shared" si="4"/>
        <v>3.6499999999999998E-2</v>
      </c>
      <c r="I21" s="260">
        <f>ROUND((G21/(1-(F21+H21)))*(1+E21),2)</f>
        <v>4758.6099999999997</v>
      </c>
      <c r="J21" s="261">
        <f>TRUNC(I21*D21,2)</f>
        <v>0</v>
      </c>
      <c r="K21" s="254">
        <f>K13</f>
        <v>386</v>
      </c>
      <c r="L21" s="233">
        <f>ROUND(((($C$51+$D$51*K21)*$M$49)/(1-F21))*(1+E21),2)</f>
        <v>298.83999999999997</v>
      </c>
      <c r="M21" s="261">
        <f>TRUNC(L21*D21,2)</f>
        <v>0</v>
      </c>
      <c r="N21" s="262">
        <f>M21+J21</f>
        <v>0</v>
      </c>
      <c r="P21" s="223">
        <v>3.7759549613404495</v>
      </c>
      <c r="Q21" s="224" t="s">
        <v>548</v>
      </c>
      <c r="S21" s="194">
        <f t="shared" si="0"/>
        <v>386</v>
      </c>
      <c r="T21" s="194">
        <f t="shared" si="1"/>
        <v>4758.6099999999997</v>
      </c>
      <c r="U21" s="194">
        <f t="shared" si="2"/>
        <v>298.83999999999997</v>
      </c>
    </row>
    <row r="22" spans="2:21" ht="14.1" customHeight="1" x14ac:dyDescent="0.25">
      <c r="B22" s="235" t="s">
        <v>45</v>
      </c>
      <c r="C22" s="236" t="s">
        <v>549</v>
      </c>
      <c r="D22" s="237">
        <f>VLOOKUP(C22,$G$30:$I$41,3,FALSE)</f>
        <v>0</v>
      </c>
      <c r="E22" s="238">
        <f>$E$8</f>
        <v>0</v>
      </c>
      <c r="F22" s="238">
        <f>$F$8</f>
        <v>0.17</v>
      </c>
      <c r="G22" s="239">
        <f>1000*P22</f>
        <v>3775.9549613404497</v>
      </c>
      <c r="H22" s="238">
        <f t="shared" si="4"/>
        <v>3.6499999999999998E-2</v>
      </c>
      <c r="I22" s="240">
        <f>ROUND((G22/(1-(F22+H22)))*(1+E22),2)</f>
        <v>4758.6099999999997</v>
      </c>
      <c r="J22" s="241">
        <f>TRUNC(I22*D22,2)</f>
        <v>0</v>
      </c>
      <c r="K22" s="242">
        <f>K14</f>
        <v>348</v>
      </c>
      <c r="L22" s="243">
        <f>ROUND(((($C$51+$D$51*K22)*$M$49)/(1-F22))*(1+E22),2)</f>
        <v>275.77999999999997</v>
      </c>
      <c r="M22" s="241">
        <f>TRUNC(L22*D22,2)</f>
        <v>0</v>
      </c>
      <c r="N22" s="244">
        <f>M22+J22</f>
        <v>0</v>
      </c>
      <c r="P22" s="223">
        <v>3.7759549613404495</v>
      </c>
      <c r="Q22" s="224" t="s">
        <v>548</v>
      </c>
      <c r="S22" s="194">
        <f t="shared" si="0"/>
        <v>348</v>
      </c>
      <c r="T22" s="194">
        <f t="shared" si="1"/>
        <v>4758.6099999999997</v>
      </c>
      <c r="U22" s="194">
        <f t="shared" si="2"/>
        <v>275.77999999999997</v>
      </c>
    </row>
    <row r="23" spans="2:21" ht="5.0999999999999996" customHeight="1" x14ac:dyDescent="0.25">
      <c r="B23" s="245"/>
      <c r="C23" s="246"/>
      <c r="D23" s="247"/>
      <c r="E23" s="248"/>
      <c r="F23" s="248"/>
      <c r="G23" s="249"/>
      <c r="H23" s="248"/>
      <c r="I23" s="250"/>
      <c r="J23" s="250"/>
      <c r="K23" s="191"/>
      <c r="L23" s="250"/>
      <c r="M23" s="250"/>
      <c r="N23" s="251"/>
      <c r="P23" s="223"/>
      <c r="Q23" s="224"/>
      <c r="S23" s="194"/>
      <c r="T23" s="194"/>
      <c r="U23" s="194"/>
    </row>
    <row r="24" spans="2:21" ht="14.1" customHeight="1" x14ac:dyDescent="0.25">
      <c r="B24" s="255" t="s">
        <v>407</v>
      </c>
      <c r="C24" s="256" t="s">
        <v>46</v>
      </c>
      <c r="D24" s="215">
        <f>VLOOKUP(C24,$G$30:$I$41,3,FALSE)</f>
        <v>1.2590703000000001</v>
      </c>
      <c r="E24" s="252">
        <f>$E$8</f>
        <v>0</v>
      </c>
      <c r="F24" s="252">
        <f>$F$8</f>
        <v>0.17</v>
      </c>
      <c r="G24" s="217">
        <f>P24*1000</f>
        <v>2612.5808358405579</v>
      </c>
      <c r="H24" s="252">
        <f t="shared" ref="H24:H26" si="5">$H$8</f>
        <v>3.6499999999999998E-2</v>
      </c>
      <c r="I24" s="218">
        <f>ROUND((G24/(1-(F24+H24)))*(1+E24),2)</f>
        <v>3292.48</v>
      </c>
      <c r="J24" s="219">
        <f>TRUNC(I24*D24,2)</f>
        <v>4145.46</v>
      </c>
      <c r="K24" s="220">
        <f>K12</f>
        <v>163</v>
      </c>
      <c r="L24" s="221">
        <f>ROUND(((($C$51+$D$51*K24)*$M$49)/(1-F24))*(1+E24),2)</f>
        <v>163.52000000000001</v>
      </c>
      <c r="M24" s="219">
        <f>TRUNC(L24*D24,2)</f>
        <v>205.88</v>
      </c>
      <c r="N24" s="222">
        <f>M24+J24</f>
        <v>4351.34</v>
      </c>
      <c r="P24" s="223">
        <v>2.612580835840558</v>
      </c>
      <c r="Q24" s="224" t="s">
        <v>545</v>
      </c>
      <c r="S24" s="194">
        <f t="shared" si="0"/>
        <v>163</v>
      </c>
      <c r="T24" s="194">
        <f t="shared" si="1"/>
        <v>3292.48</v>
      </c>
      <c r="U24" s="194">
        <f t="shared" si="2"/>
        <v>163.52000000000001</v>
      </c>
    </row>
    <row r="25" spans="2:21" ht="14.1" customHeight="1" x14ac:dyDescent="0.25">
      <c r="B25" s="257" t="s">
        <v>44</v>
      </c>
      <c r="C25" s="258" t="s">
        <v>46</v>
      </c>
      <c r="D25" s="227">
        <f>VLOOKUP(C25,$G$30:$I$41,3,FALSE)</f>
        <v>1.2590703000000001</v>
      </c>
      <c r="E25" s="259">
        <f>$E$8</f>
        <v>0</v>
      </c>
      <c r="F25" s="259">
        <f>$F$8</f>
        <v>0.17</v>
      </c>
      <c r="G25" s="229">
        <f>1000*P25</f>
        <v>2612.5808358405579</v>
      </c>
      <c r="H25" s="259">
        <f t="shared" si="5"/>
        <v>3.6499999999999998E-2</v>
      </c>
      <c r="I25" s="260">
        <f>ROUND((G25/(1-(F25+H25)))*(1+E25),2)</f>
        <v>3292.48</v>
      </c>
      <c r="J25" s="261">
        <f>TRUNC(I25*D25,2)</f>
        <v>4145.46</v>
      </c>
      <c r="K25" s="254">
        <f>K13</f>
        <v>386</v>
      </c>
      <c r="L25" s="233">
        <f>ROUND(((($C$51+$D$51*K25)*$M$49)/(1-F25))*(1+E25),2)</f>
        <v>298.83999999999997</v>
      </c>
      <c r="M25" s="261">
        <f>TRUNC(L25*D25,2)</f>
        <v>376.26</v>
      </c>
      <c r="N25" s="262">
        <f>M25+J25</f>
        <v>4521.72</v>
      </c>
      <c r="P25" s="223">
        <v>2.612580835840558</v>
      </c>
      <c r="Q25" s="224" t="s">
        <v>545</v>
      </c>
      <c r="S25" s="194">
        <f t="shared" si="0"/>
        <v>386</v>
      </c>
      <c r="T25" s="194">
        <f t="shared" si="1"/>
        <v>3292.48</v>
      </c>
      <c r="U25" s="194">
        <f t="shared" si="2"/>
        <v>298.83999999999997</v>
      </c>
    </row>
    <row r="26" spans="2:21" ht="14.1" customHeight="1" thickBot="1" x14ac:dyDescent="0.3">
      <c r="B26" s="263" t="s">
        <v>45</v>
      </c>
      <c r="C26" s="264" t="s">
        <v>46</v>
      </c>
      <c r="D26" s="265">
        <f>VLOOKUP(C26,$G$30:$I$41,3,FALSE)</f>
        <v>1.2590703000000001</v>
      </c>
      <c r="E26" s="266">
        <f>$E$8</f>
        <v>0</v>
      </c>
      <c r="F26" s="266">
        <f>$F$8</f>
        <v>0.17</v>
      </c>
      <c r="G26" s="267">
        <f>1000*P26</f>
        <v>2612.5808358405579</v>
      </c>
      <c r="H26" s="266">
        <f t="shared" si="5"/>
        <v>3.6499999999999998E-2</v>
      </c>
      <c r="I26" s="268">
        <f>ROUND((G26/(1-(F26+H26)))*(1+E26),2)</f>
        <v>3292.48</v>
      </c>
      <c r="J26" s="269">
        <f>TRUNC(I26*D26,2)</f>
        <v>4145.46</v>
      </c>
      <c r="K26" s="270">
        <f>K14</f>
        <v>348</v>
      </c>
      <c r="L26" s="271">
        <f>ROUND(((($C$51+$D$51*K26)*$M$49)/(1-F26))*(1+E26),2)</f>
        <v>275.77999999999997</v>
      </c>
      <c r="M26" s="269">
        <f>TRUNC(L26*D26,2)</f>
        <v>347.22</v>
      </c>
      <c r="N26" s="272">
        <f>M26+J26</f>
        <v>4492.68</v>
      </c>
      <c r="P26" s="223">
        <v>2.612580835840558</v>
      </c>
      <c r="Q26" s="224" t="s">
        <v>545</v>
      </c>
      <c r="S26" s="194">
        <f t="shared" si="0"/>
        <v>348</v>
      </c>
      <c r="T26" s="194">
        <f t="shared" si="1"/>
        <v>3292.48</v>
      </c>
      <c r="U26" s="194">
        <f t="shared" si="2"/>
        <v>275.77999999999997</v>
      </c>
    </row>
    <row r="27" spans="2:21" s="191" customFormat="1" ht="5.0999999999999996" customHeight="1" thickTop="1" thickBot="1" x14ac:dyDescent="0.3">
      <c r="P27" s="192"/>
      <c r="Q27" s="192"/>
    </row>
    <row r="28" spans="2:21" ht="14.1" customHeight="1" thickTop="1" x14ac:dyDescent="0.25">
      <c r="B28" s="741" t="s">
        <v>74</v>
      </c>
      <c r="C28" s="743" t="s">
        <v>215</v>
      </c>
      <c r="D28" s="743"/>
      <c r="E28" s="743"/>
      <c r="F28" s="743"/>
      <c r="G28" s="743" t="s">
        <v>47</v>
      </c>
      <c r="H28" s="743" t="s">
        <v>12</v>
      </c>
      <c r="I28" s="745" t="s">
        <v>0</v>
      </c>
      <c r="J28" s="735" t="s">
        <v>550</v>
      </c>
      <c r="K28" s="735" t="s">
        <v>551</v>
      </c>
      <c r="L28" s="735" t="s">
        <v>552</v>
      </c>
      <c r="M28" s="737" t="s">
        <v>553</v>
      </c>
      <c r="N28" s="738"/>
    </row>
    <row r="29" spans="2:21" ht="14.1" customHeight="1" x14ac:dyDescent="0.25">
      <c r="B29" s="742"/>
      <c r="C29" s="744"/>
      <c r="D29" s="744"/>
      <c r="E29" s="744"/>
      <c r="F29" s="744"/>
      <c r="G29" s="744"/>
      <c r="H29" s="744"/>
      <c r="I29" s="746"/>
      <c r="J29" s="736"/>
      <c r="K29" s="736"/>
      <c r="L29" s="736"/>
      <c r="M29" s="739"/>
      <c r="N29" s="740"/>
    </row>
    <row r="30" spans="2:21" ht="14.1" customHeight="1" x14ac:dyDescent="0.25">
      <c r="B30" s="273" t="s">
        <v>509</v>
      </c>
      <c r="C30" s="728" t="s">
        <v>510</v>
      </c>
      <c r="D30" s="728"/>
      <c r="E30" s="728"/>
      <c r="F30" s="728"/>
      <c r="G30" s="274" t="s">
        <v>544</v>
      </c>
      <c r="H30" s="274" t="s">
        <v>23</v>
      </c>
      <c r="I30" s="275">
        <f>SUMIF('Orça-SD'!$B$5:$B$61,B30,'Orça-SD'!$E$5:$E$61)</f>
        <v>0</v>
      </c>
      <c r="J30" s="276">
        <f>IF(G30=$C$8,MIN($N$8:$N$10),IF(G30=$C$12,MIN($N$12:$N$14),IF(G30=$C$16,MIN($N$16:$N$18),IF(G30=$C$20,MIN($N$20:$N$22),IF(G30=$C$24,MIN($N$24:$N$26),"?")))))</f>
        <v>0</v>
      </c>
      <c r="K30" s="277">
        <f>VLOOKUP(J30,$N$8:$U$26,6,FALSE)</f>
        <v>387</v>
      </c>
      <c r="L30" s="276">
        <f>VLOOKUP(J30,$N$8:$U$26,7,FALSE)</f>
        <v>4361.2</v>
      </c>
      <c r="M30" s="729" t="str">
        <f>VLOOKUP(J30,$N$8:$U$26,4,FALSE)</f>
        <v>Estado do RS</v>
      </c>
      <c r="N30" s="730"/>
    </row>
    <row r="31" spans="2:21" ht="14.1" customHeight="1" x14ac:dyDescent="0.25">
      <c r="B31" s="273" t="s">
        <v>505</v>
      </c>
      <c r="C31" s="728" t="s">
        <v>506</v>
      </c>
      <c r="D31" s="728"/>
      <c r="E31" s="728"/>
      <c r="F31" s="728"/>
      <c r="G31" s="274" t="s">
        <v>299</v>
      </c>
      <c r="H31" s="274" t="s">
        <v>23</v>
      </c>
      <c r="I31" s="275">
        <f>SUMIF('Orça-SD'!$B$5:$B$61,B31,'Orça-SD'!$E$5:$E$61)</f>
        <v>15.696409739999998</v>
      </c>
      <c r="J31" s="276">
        <f>IF(G31=$C$8,MIN($N$8:$N$10),IF(G31=$C$12,MIN($N$12:$N$14),IF(G31=$C$16,MIN($N$16:$N$18),IF(G31=$C$20,MIN($N$20:$N$22),IF(G31=$C$24,MIN($N$24:$N$26),"?")))))</f>
        <v>92648.99</v>
      </c>
      <c r="K31" s="277">
        <f t="shared" ref="K31:K34" si="6">VLOOKUP(J31,$N$8:$U$26,6,FALSE)</f>
        <v>163</v>
      </c>
      <c r="L31" s="276">
        <f t="shared" ref="L31:L34" si="7">VLOOKUP(J31,$N$8:$U$26,7,FALSE)</f>
        <v>5739.04</v>
      </c>
      <c r="M31" s="729" t="str">
        <f t="shared" ref="M31:M34" si="8">VLOOKUP(J31,$N$8:$U$26,4,FALSE)</f>
        <v>Estado do RS</v>
      </c>
      <c r="N31" s="730"/>
    </row>
    <row r="32" spans="2:21" ht="14.1" customHeight="1" x14ac:dyDescent="0.25">
      <c r="B32" s="273" t="s">
        <v>566</v>
      </c>
      <c r="C32" s="728" t="s">
        <v>567</v>
      </c>
      <c r="D32" s="728"/>
      <c r="E32" s="728"/>
      <c r="F32" s="728"/>
      <c r="G32" s="274" t="s">
        <v>569</v>
      </c>
      <c r="H32" s="274" t="s">
        <v>23</v>
      </c>
      <c r="I32" s="275">
        <f>SUMIF('Orça-SD'!$B$5:$B$61,B32,'Orça-SD'!$E$5:$E$61)</f>
        <v>4.0403079600000007</v>
      </c>
      <c r="J32" s="276">
        <f>IF(G32=$C$8,MIN($N$8:$N$10),IF(G32=$C$12,MIN($N$12:$N$14),IF(G32=$C$16,MIN($N$16:$N$18),IF(G32=$C$20,MIN($N$20:$N$22),IF(G32=$C$24,MIN($N$24:$N$26),"?")))))</f>
        <v>24168.55</v>
      </c>
      <c r="K32" s="277">
        <f t="shared" si="6"/>
        <v>387</v>
      </c>
      <c r="L32" s="276">
        <f t="shared" si="7"/>
        <v>5682.41</v>
      </c>
      <c r="M32" s="729" t="str">
        <f t="shared" si="8"/>
        <v>Estado do RS</v>
      </c>
      <c r="N32" s="730"/>
    </row>
    <row r="33" spans="1:21" ht="14.1" customHeight="1" x14ac:dyDescent="0.25">
      <c r="B33" s="273" t="s">
        <v>501</v>
      </c>
      <c r="C33" s="728" t="s">
        <v>502</v>
      </c>
      <c r="D33" s="728"/>
      <c r="E33" s="728"/>
      <c r="F33" s="728"/>
      <c r="G33" s="274" t="s">
        <v>549</v>
      </c>
      <c r="H33" s="274" t="s">
        <v>23</v>
      </c>
      <c r="I33" s="275">
        <f>SUMIF('Orça-SD'!$B$5:$B$61,B33,'Orça-SD'!$E$5:$E$61)</f>
        <v>0</v>
      </c>
      <c r="J33" s="276">
        <f>IF(G33=$C$8,MIN($N$8:$N$10),IF(G33=$C$12,MIN($N$12:$N$14),IF(G33=$C$16,MIN($N$16:$N$18),IF(G33=$C$20,MIN($N$20:$N$22),IF(G33=$C$24,MIN($N$24:$N$26),"?")))))</f>
        <v>0</v>
      </c>
      <c r="K33" s="277">
        <f t="shared" si="6"/>
        <v>387</v>
      </c>
      <c r="L33" s="276">
        <f t="shared" si="7"/>
        <v>4361.2</v>
      </c>
      <c r="M33" s="729" t="str">
        <f t="shared" si="8"/>
        <v>Estado do RS</v>
      </c>
      <c r="N33" s="730"/>
    </row>
    <row r="34" spans="1:21" ht="14.1" customHeight="1" x14ac:dyDescent="0.25">
      <c r="B34" s="273" t="s">
        <v>477</v>
      </c>
      <c r="C34" s="728" t="s">
        <v>499</v>
      </c>
      <c r="D34" s="728"/>
      <c r="E34" s="728"/>
      <c r="F34" s="728"/>
      <c r="G34" s="274" t="s">
        <v>46</v>
      </c>
      <c r="H34" s="274" t="s">
        <v>23</v>
      </c>
      <c r="I34" s="275">
        <f>SUMIF('Orça-SD'!$B$5:$B$61,B34,'Orça-SD'!$E$5:$E$61)</f>
        <v>1.2590703000000001</v>
      </c>
      <c r="J34" s="276">
        <f>IF(G34=$C$8,MIN($N$8:$N$10),IF(G34=$C$12,MIN($N$12:$N$14),IF(G34=$C$16,MIN($N$16:$N$18),IF(G34=$C$20,MIN($N$20:$N$22),IF(G34=$C$24,MIN($N$24:$N$26),"?")))))</f>
        <v>4351.34</v>
      </c>
      <c r="K34" s="277">
        <f t="shared" si="6"/>
        <v>163</v>
      </c>
      <c r="L34" s="276">
        <f t="shared" si="7"/>
        <v>3292.48</v>
      </c>
      <c r="M34" s="729" t="str">
        <f t="shared" si="8"/>
        <v>Estado do RS</v>
      </c>
      <c r="N34" s="730"/>
    </row>
    <row r="35" spans="1:21" ht="14.1" customHeight="1" x14ac:dyDescent="0.25">
      <c r="B35" s="273"/>
      <c r="C35" s="728"/>
      <c r="D35" s="728"/>
      <c r="E35" s="728"/>
      <c r="F35" s="728"/>
      <c r="G35" s="274"/>
      <c r="H35" s="274"/>
      <c r="I35" s="275"/>
      <c r="J35" s="276"/>
      <c r="K35" s="277"/>
      <c r="L35" s="276"/>
      <c r="M35" s="729"/>
      <c r="N35" s="730"/>
    </row>
    <row r="36" spans="1:21" s="191" customFormat="1" ht="5.0999999999999996" customHeight="1" x14ac:dyDescent="0.25">
      <c r="B36" s="278"/>
      <c r="C36" s="279"/>
      <c r="D36" s="279"/>
      <c r="E36" s="279"/>
      <c r="F36" s="279"/>
      <c r="G36" s="279"/>
      <c r="H36" s="279"/>
      <c r="I36" s="280"/>
      <c r="J36" s="279"/>
      <c r="K36" s="279"/>
      <c r="L36" s="279"/>
      <c r="M36" s="279"/>
      <c r="N36" s="281"/>
      <c r="P36" s="192"/>
      <c r="Q36" s="192"/>
    </row>
    <row r="37" spans="1:21" ht="14.1" customHeight="1" x14ac:dyDescent="0.25">
      <c r="B37" s="273" t="s">
        <v>511</v>
      </c>
      <c r="C37" s="728" t="s">
        <v>512</v>
      </c>
      <c r="D37" s="728"/>
      <c r="E37" s="728"/>
      <c r="F37" s="728"/>
      <c r="G37" s="274" t="s">
        <v>544</v>
      </c>
      <c r="H37" s="274" t="s">
        <v>23</v>
      </c>
      <c r="I37" s="275">
        <f>SUMIF('Orça-SD'!$B$5:$B$61,B37,'Orça-SD'!$E$5:$E$61)</f>
        <v>0</v>
      </c>
      <c r="J37" s="276">
        <f>IF(G37=$C$8,MIN($N$8:$N$10),IF(G37=$C$12,MIN($N$12:$N$14),IF(G37=$C$16,MIN($N$16:$N$18),IF(G37=$C$20,MIN($N$20:$N$22),IF(G37=$C$24,MIN($N$24:$N$26),"?")))))</f>
        <v>0</v>
      </c>
      <c r="K37" s="277">
        <f>VLOOKUP(J37,$N$8:$U$26,6,FALSE)</f>
        <v>387</v>
      </c>
      <c r="L37" s="276">
        <f>VLOOKUP(J37,$N$8:$U$26,8,FALSE)</f>
        <v>299.45</v>
      </c>
      <c r="M37" s="729" t="str">
        <f>VLOOKUP(J37,$N$8:$U$26,4,FALSE)</f>
        <v>Estado do RS</v>
      </c>
      <c r="N37" s="730"/>
    </row>
    <row r="38" spans="1:21" ht="14.1" customHeight="1" x14ac:dyDescent="0.25">
      <c r="B38" s="273" t="s">
        <v>507</v>
      </c>
      <c r="C38" s="728" t="s">
        <v>508</v>
      </c>
      <c r="D38" s="728"/>
      <c r="E38" s="728"/>
      <c r="F38" s="728"/>
      <c r="G38" s="274" t="s">
        <v>299</v>
      </c>
      <c r="H38" s="274" t="s">
        <v>23</v>
      </c>
      <c r="I38" s="275">
        <f>SUMIF('Orça-SD'!$B$5:$B$61,B38,'Orça-SD'!$E$5:$E$61)</f>
        <v>15.696409739999998</v>
      </c>
      <c r="J38" s="276">
        <f>IF(G38=$C$8,MIN($N$8:$N$10),IF(G38=$C$12,MIN($N$12:$N$14),IF(G38=$C$16,MIN($N$16:$N$18),IF(G38=$C$20,MIN($N$20:$N$22),IF(G38=$C$24,MIN($N$24:$N$26),"?")))))</f>
        <v>92648.99</v>
      </c>
      <c r="K38" s="277">
        <f t="shared" ref="K38:K41" si="9">VLOOKUP(J38,$N$8:$U$26,6,FALSE)</f>
        <v>163</v>
      </c>
      <c r="L38" s="276">
        <f t="shared" ref="L38:L41" si="10">VLOOKUP(J38,$N$8:$U$26,8,FALSE)</f>
        <v>163.52000000000001</v>
      </c>
      <c r="M38" s="729" t="str">
        <f t="shared" ref="M38:M41" si="11">VLOOKUP(J38,$N$8:$U$26,4,FALSE)</f>
        <v>Estado do RS</v>
      </c>
      <c r="N38" s="730"/>
    </row>
    <row r="39" spans="1:21" ht="14.1" customHeight="1" x14ac:dyDescent="0.25">
      <c r="B39" s="273" t="s">
        <v>479</v>
      </c>
      <c r="C39" s="728" t="s">
        <v>568</v>
      </c>
      <c r="D39" s="728"/>
      <c r="E39" s="728"/>
      <c r="F39" s="728"/>
      <c r="G39" s="274" t="s">
        <v>569</v>
      </c>
      <c r="H39" s="274" t="s">
        <v>23</v>
      </c>
      <c r="I39" s="275">
        <f>SUMIF('Orça-SD'!$B$5:$B$61,B39,'Orça-SD'!$E$5:$E$61)</f>
        <v>4.0403079600000007</v>
      </c>
      <c r="J39" s="276">
        <f>IF(G39=$C$8,MIN($N$8:$N$10),IF(G39=$C$12,MIN($N$12:$N$14),IF(G39=$C$16,MIN($N$16:$N$18),IF(G39=$C$20,MIN($N$20:$N$22),IF(G39=$C$24,MIN($N$24:$N$26),"?")))))</f>
        <v>24168.55</v>
      </c>
      <c r="K39" s="277">
        <f t="shared" si="9"/>
        <v>387</v>
      </c>
      <c r="L39" s="276">
        <f t="shared" si="10"/>
        <v>299.45</v>
      </c>
      <c r="M39" s="729" t="str">
        <f t="shared" si="11"/>
        <v>Estado do RS</v>
      </c>
      <c r="N39" s="730"/>
    </row>
    <row r="40" spans="1:21" ht="14.1" customHeight="1" x14ac:dyDescent="0.25">
      <c r="B40" s="273" t="s">
        <v>503</v>
      </c>
      <c r="C40" s="728" t="s">
        <v>504</v>
      </c>
      <c r="D40" s="728"/>
      <c r="E40" s="728"/>
      <c r="F40" s="728"/>
      <c r="G40" s="274" t="s">
        <v>549</v>
      </c>
      <c r="H40" s="274" t="s">
        <v>23</v>
      </c>
      <c r="I40" s="275">
        <f>SUMIF('Orça-SD'!$B$5:$B$61,B40,'Orça-SD'!$E$5:$E$61)</f>
        <v>0</v>
      </c>
      <c r="J40" s="276">
        <f>IF(G40=$C$8,MIN($N$8:$N$10),IF(G40=$C$12,MIN($N$12:$N$14),IF(G40=$C$16,MIN($N$16:$N$18),IF(G40=$C$20,MIN($N$20:$N$22),IF(G40=$C$24,MIN($N$24:$N$26),"?")))))</f>
        <v>0</v>
      </c>
      <c r="K40" s="277">
        <f t="shared" si="9"/>
        <v>387</v>
      </c>
      <c r="L40" s="276">
        <f t="shared" si="10"/>
        <v>299.45</v>
      </c>
      <c r="M40" s="729" t="str">
        <f t="shared" si="11"/>
        <v>Estado do RS</v>
      </c>
      <c r="N40" s="730"/>
    </row>
    <row r="41" spans="1:21" ht="14.1" customHeight="1" x14ac:dyDescent="0.25">
      <c r="B41" s="273" t="s">
        <v>478</v>
      </c>
      <c r="C41" s="728" t="s">
        <v>500</v>
      </c>
      <c r="D41" s="728"/>
      <c r="E41" s="728"/>
      <c r="F41" s="728"/>
      <c r="G41" s="274" t="s">
        <v>46</v>
      </c>
      <c r="H41" s="274" t="s">
        <v>23</v>
      </c>
      <c r="I41" s="275">
        <f>SUMIF('Orça-SD'!$B$5:$B$61,B41,'Orça-SD'!$E$5:$E$61)</f>
        <v>1.2590703000000001</v>
      </c>
      <c r="J41" s="276">
        <f>IF(G41=$C$8,MIN($N$8:$N$10),IF(G41=$C$12,MIN($N$12:$N$14),IF(G41=$C$16,MIN($N$16:$N$18),IF(G41=$C$20,MIN($N$20:$N$22),IF(G41=$C$24,MIN($N$24:$N$26),"?")))))</f>
        <v>4351.34</v>
      </c>
      <c r="K41" s="277">
        <f t="shared" si="9"/>
        <v>163</v>
      </c>
      <c r="L41" s="276">
        <f t="shared" si="10"/>
        <v>163.52000000000001</v>
      </c>
      <c r="M41" s="729" t="str">
        <f t="shared" si="11"/>
        <v>Estado do RS</v>
      </c>
      <c r="N41" s="730"/>
    </row>
    <row r="42" spans="1:21" ht="14.1" customHeight="1" thickBot="1" x14ac:dyDescent="0.3">
      <c r="B42" s="282"/>
      <c r="C42" s="721"/>
      <c r="D42" s="721"/>
      <c r="E42" s="721"/>
      <c r="F42" s="721"/>
      <c r="G42" s="283"/>
      <c r="H42" s="283"/>
      <c r="I42" s="284"/>
      <c r="J42" s="285"/>
      <c r="K42" s="286"/>
      <c r="L42" s="285"/>
      <c r="M42" s="722"/>
      <c r="N42" s="723"/>
    </row>
    <row r="43" spans="1:21" s="191" customFormat="1" ht="5.0999999999999996" customHeight="1" thickTop="1" thickBot="1" x14ac:dyDescent="0.3">
      <c r="P43" s="192"/>
      <c r="Q43" s="192"/>
    </row>
    <row r="44" spans="1:21" s="194" customFormat="1" ht="12.95" customHeight="1" thickTop="1" x14ac:dyDescent="0.25">
      <c r="A44" s="191"/>
      <c r="B44" s="287" t="s">
        <v>554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288"/>
      <c r="O44" s="191"/>
      <c r="R44" s="195"/>
      <c r="S44" s="195"/>
      <c r="T44" s="195"/>
      <c r="U44" s="195"/>
    </row>
    <row r="45" spans="1:21" s="194" customFormat="1" ht="12.95" customHeight="1" x14ac:dyDescent="0.25">
      <c r="A45" s="191"/>
      <c r="B45" s="289" t="s">
        <v>555</v>
      </c>
      <c r="C45" s="191"/>
      <c r="D45" s="191"/>
      <c r="E45" s="191"/>
      <c r="F45" s="191"/>
      <c r="G45" s="191"/>
      <c r="H45" s="290"/>
      <c r="I45" s="191"/>
      <c r="J45" s="290"/>
      <c r="K45" s="291"/>
      <c r="L45" s="191"/>
      <c r="M45" s="191"/>
      <c r="N45" s="204"/>
      <c r="O45" s="191"/>
      <c r="R45" s="195"/>
      <c r="S45" s="195"/>
      <c r="T45" s="195"/>
      <c r="U45" s="195"/>
    </row>
    <row r="46" spans="1:21" s="194" customFormat="1" ht="12.95" customHeight="1" x14ac:dyDescent="0.25">
      <c r="A46" s="191"/>
      <c r="B46" s="724" t="s">
        <v>556</v>
      </c>
      <c r="C46" s="725"/>
      <c r="D46" s="725"/>
      <c r="E46" s="725"/>
      <c r="F46" s="725"/>
      <c r="G46" s="725"/>
      <c r="H46" s="725"/>
      <c r="I46" s="725"/>
      <c r="J46" s="725"/>
      <c r="K46" s="726" t="s">
        <v>48</v>
      </c>
      <c r="L46" s="726"/>
      <c r="M46" s="726"/>
      <c r="N46" s="727"/>
      <c r="O46" s="191"/>
      <c r="R46" s="195"/>
      <c r="S46" s="195"/>
      <c r="T46" s="195"/>
      <c r="U46" s="195"/>
    </row>
    <row r="47" spans="1:21" s="194" customFormat="1" ht="12.95" customHeight="1" x14ac:dyDescent="0.25">
      <c r="A47" s="191"/>
      <c r="B47" s="289" t="s">
        <v>49</v>
      </c>
      <c r="C47" s="715" t="str">
        <f>CONCATENATE(C51," + ",D51," x D (por tonelada)")</f>
        <v>26,939 + 0,253 x D (por tonelada)</v>
      </c>
      <c r="D47" s="715"/>
      <c r="E47" s="715"/>
      <c r="F47" s="191"/>
      <c r="G47" s="191"/>
      <c r="H47" s="191"/>
      <c r="I47" s="191"/>
      <c r="J47" s="191"/>
      <c r="K47" s="716" t="s">
        <v>50</v>
      </c>
      <c r="L47" s="716"/>
      <c r="M47" s="318">
        <v>44835</v>
      </c>
      <c r="N47" s="319">
        <v>537.96400000000006</v>
      </c>
      <c r="O47" s="191"/>
      <c r="R47" s="195"/>
      <c r="S47" s="195"/>
      <c r="T47" s="195"/>
      <c r="U47" s="195"/>
    </row>
    <row r="48" spans="1:21" s="194" customFormat="1" ht="12.95" customHeight="1" x14ac:dyDescent="0.25">
      <c r="A48" s="191"/>
      <c r="B48" s="289" t="s">
        <v>51</v>
      </c>
      <c r="C48" s="715" t="str">
        <f>CONCATENATE(C52," + ",D52," x D (por tonelada)")</f>
        <v>26,939 + 0,299 x D (por tonelada)</v>
      </c>
      <c r="D48" s="715"/>
      <c r="E48" s="715"/>
      <c r="F48" s="191"/>
      <c r="G48" s="191"/>
      <c r="H48" s="191"/>
      <c r="I48" s="191"/>
      <c r="J48" s="191"/>
      <c r="K48" s="716" t="s">
        <v>52</v>
      </c>
      <c r="L48" s="716"/>
      <c r="M48" s="292">
        <v>41821</v>
      </c>
      <c r="N48" s="293">
        <v>270.23700000000002</v>
      </c>
      <c r="O48" s="191"/>
      <c r="R48" s="195"/>
      <c r="S48" s="195"/>
      <c r="T48" s="195"/>
      <c r="U48" s="195"/>
    </row>
    <row r="49" spans="1:21" s="194" customFormat="1" ht="12.95" customHeight="1" thickBot="1" x14ac:dyDescent="0.3">
      <c r="A49" s="191"/>
      <c r="B49" s="294" t="s">
        <v>53</v>
      </c>
      <c r="C49" s="717" t="str">
        <f>CONCATENATE(C53," + ",D53," x D (por tonelada)")</f>
        <v>26,939 + 0,412 x D (por tonelada)</v>
      </c>
      <c r="D49" s="717"/>
      <c r="E49" s="717"/>
      <c r="F49" s="208"/>
      <c r="G49" s="208"/>
      <c r="H49" s="208"/>
      <c r="I49" s="208"/>
      <c r="J49" s="208"/>
      <c r="K49" s="718" t="s">
        <v>54</v>
      </c>
      <c r="L49" s="718"/>
      <c r="M49" s="719">
        <f>TRUNC(N47/N48,5)</f>
        <v>1.99071</v>
      </c>
      <c r="N49" s="720"/>
      <c r="O49" s="191"/>
      <c r="R49" s="195"/>
      <c r="S49" s="195"/>
      <c r="T49" s="195"/>
      <c r="U49" s="195"/>
    </row>
    <row r="50" spans="1:21" s="194" customFormat="1" ht="5.0999999999999996" customHeight="1" thickTop="1" x14ac:dyDescent="0.25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2"/>
      <c r="R50" s="195"/>
      <c r="S50" s="195"/>
      <c r="T50" s="195"/>
      <c r="U50" s="195"/>
    </row>
    <row r="51" spans="1:21" s="194" customFormat="1" x14ac:dyDescent="0.25">
      <c r="A51" s="191"/>
      <c r="B51" s="195"/>
      <c r="C51" s="295">
        <v>26.939</v>
      </c>
      <c r="D51" s="295">
        <v>0.253</v>
      </c>
      <c r="E51" s="296">
        <v>0.15</v>
      </c>
      <c r="F51" s="295"/>
      <c r="G51" s="195"/>
      <c r="H51" s="195"/>
      <c r="I51" s="195"/>
      <c r="J51" s="195"/>
      <c r="K51" s="195"/>
      <c r="L51" s="297"/>
      <c r="M51" s="195"/>
      <c r="N51" s="195"/>
      <c r="O51" s="191"/>
      <c r="R51" s="195"/>
      <c r="S51" s="195"/>
      <c r="T51" s="195"/>
      <c r="U51" s="195"/>
    </row>
    <row r="52" spans="1:21" s="194" customFormat="1" x14ac:dyDescent="0.25">
      <c r="A52" s="191"/>
      <c r="B52" s="195"/>
      <c r="C52" s="295">
        <v>26.939</v>
      </c>
      <c r="D52" s="295">
        <v>0.29899999999999999</v>
      </c>
      <c r="E52" s="296">
        <v>0</v>
      </c>
      <c r="F52" s="295"/>
      <c r="G52" s="195"/>
      <c r="H52" s="195"/>
      <c r="I52" s="195"/>
      <c r="J52" s="195"/>
      <c r="K52" s="195"/>
      <c r="L52" s="195"/>
      <c r="M52" s="195"/>
      <c r="N52" s="195"/>
      <c r="O52" s="191"/>
      <c r="R52" s="195"/>
      <c r="S52" s="195"/>
      <c r="T52" s="195"/>
      <c r="U52" s="195"/>
    </row>
    <row r="53" spans="1:21" s="194" customFormat="1" x14ac:dyDescent="0.25">
      <c r="A53" s="191"/>
      <c r="B53" s="195"/>
      <c r="C53" s="295">
        <v>26.939</v>
      </c>
      <c r="D53" s="295">
        <v>0.41199999999999998</v>
      </c>
      <c r="E53" s="296">
        <v>0.21240000000000001</v>
      </c>
      <c r="F53" s="295"/>
      <c r="G53" s="195"/>
      <c r="H53" s="195"/>
      <c r="I53" s="195"/>
      <c r="J53" s="195"/>
      <c r="K53" s="195"/>
      <c r="L53" s="298"/>
      <c r="M53" s="195"/>
      <c r="N53" s="195"/>
      <c r="O53" s="191"/>
      <c r="R53" s="195"/>
      <c r="S53" s="195"/>
      <c r="T53" s="195"/>
      <c r="U53" s="195"/>
    </row>
    <row r="54" spans="1:21" s="194" customFormat="1" x14ac:dyDescent="0.25">
      <c r="A54" s="191"/>
      <c r="B54" s="195"/>
      <c r="C54" s="195"/>
      <c r="D54" s="195"/>
      <c r="E54" s="295"/>
      <c r="F54" s="195"/>
      <c r="G54" s="299" t="s">
        <v>557</v>
      </c>
      <c r="H54" s="195"/>
      <c r="I54" s="195"/>
      <c r="J54" s="195"/>
      <c r="K54" s="195"/>
      <c r="L54" s="195"/>
      <c r="M54" s="195"/>
      <c r="N54" s="195"/>
      <c r="O54" s="191"/>
      <c r="R54" s="195"/>
      <c r="S54" s="195"/>
      <c r="T54" s="195"/>
      <c r="U54" s="195"/>
    </row>
    <row r="56" spans="1:21" s="194" customFormat="1" ht="13.5" customHeight="1" x14ac:dyDescent="0.2">
      <c r="A56" s="191"/>
      <c r="B56" s="300" t="s">
        <v>55</v>
      </c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1"/>
      <c r="R56" s="195"/>
      <c r="S56" s="195"/>
      <c r="T56" s="195"/>
      <c r="U56" s="195"/>
    </row>
  </sheetData>
  <mergeCells count="53">
    <mergeCell ref="B5:N5"/>
    <mergeCell ref="B6:B7"/>
    <mergeCell ref="C6:C7"/>
    <mergeCell ref="D6:D7"/>
    <mergeCell ref="E6:E7"/>
    <mergeCell ref="F6:F7"/>
    <mergeCell ref="G6:J6"/>
    <mergeCell ref="Q6:Q7"/>
    <mergeCell ref="B28:B29"/>
    <mergeCell ref="C28:F29"/>
    <mergeCell ref="G28:G29"/>
    <mergeCell ref="H28:H29"/>
    <mergeCell ref="I28:I29"/>
    <mergeCell ref="J28:J29"/>
    <mergeCell ref="C31:F31"/>
    <mergeCell ref="M31:N31"/>
    <mergeCell ref="K6:M6"/>
    <mergeCell ref="N6:N7"/>
    <mergeCell ref="P6:P7"/>
    <mergeCell ref="K28:K29"/>
    <mergeCell ref="L28:L29"/>
    <mergeCell ref="M28:N29"/>
    <mergeCell ref="C30:F30"/>
    <mergeCell ref="M30:N30"/>
    <mergeCell ref="C32:F32"/>
    <mergeCell ref="M32:N32"/>
    <mergeCell ref="C33:F33"/>
    <mergeCell ref="M33:N33"/>
    <mergeCell ref="C34:F34"/>
    <mergeCell ref="M34:N34"/>
    <mergeCell ref="C35:F35"/>
    <mergeCell ref="M35:N35"/>
    <mergeCell ref="C37:F37"/>
    <mergeCell ref="M37:N37"/>
    <mergeCell ref="C38:F38"/>
    <mergeCell ref="M38:N38"/>
    <mergeCell ref="C39:F39"/>
    <mergeCell ref="M39:N39"/>
    <mergeCell ref="C40:F40"/>
    <mergeCell ref="M40:N40"/>
    <mergeCell ref="C41:F41"/>
    <mergeCell ref="M41:N41"/>
    <mergeCell ref="C42:F42"/>
    <mergeCell ref="M42:N42"/>
    <mergeCell ref="B46:J46"/>
    <mergeCell ref="K46:N46"/>
    <mergeCell ref="C47:E47"/>
    <mergeCell ref="K47:L47"/>
    <mergeCell ref="C48:E48"/>
    <mergeCell ref="K48:L48"/>
    <mergeCell ref="C49:E49"/>
    <mergeCell ref="K49:L49"/>
    <mergeCell ref="M49:N49"/>
  </mergeCells>
  <dataValidations count="1">
    <dataValidation type="list" allowBlank="1" showInputMessage="1" showErrorMessage="1" sqref="E8">
      <formula1>$E$51:$E$53</formula1>
    </dataValidation>
  </dataValidations>
  <hyperlinks>
    <hyperlink ref="B56" r:id="rId1"/>
  </hyperlinks>
  <printOptions horizontalCentered="1"/>
  <pageMargins left="0.59055118110236227" right="0.19685039370078741" top="0.39370078740157483" bottom="0.78740157480314965" header="0" footer="0"/>
  <pageSetup paperSize="9" scale="77" fitToHeight="0" orientation="landscape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65"/>
  <sheetViews>
    <sheetView view="pageBreakPreview" zoomScaleNormal="100" zoomScaleSheetLayoutView="100" workbookViewId="0">
      <pane ySplit="4" topLeftCell="A50" activePane="bottomLeft" state="frozen"/>
      <selection activeCell="C7" sqref="C7"/>
      <selection pane="bottomLeft" activeCell="A63" sqref="A63:XFD63"/>
    </sheetView>
  </sheetViews>
  <sheetFormatPr defaultRowHeight="15" x14ac:dyDescent="0.25"/>
  <cols>
    <col min="1" max="1" width="0.85546875" style="1" customWidth="1"/>
    <col min="2" max="2" width="13.28515625" style="1" bestFit="1" customWidth="1"/>
    <col min="3" max="3" width="55.7109375" style="1" customWidth="1"/>
    <col min="4" max="4" width="8.5703125" style="1" bestFit="1" customWidth="1"/>
    <col min="5" max="5" width="11.42578125" style="1" bestFit="1" customWidth="1"/>
    <col min="6" max="6" width="13.85546875" style="1" bestFit="1" customWidth="1"/>
    <col min="7" max="7" width="7.140625" style="1" bestFit="1" customWidth="1"/>
    <col min="8" max="8" width="14.42578125" style="1" customWidth="1"/>
    <col min="9" max="9" width="15.42578125" style="1" bestFit="1" customWidth="1"/>
    <col min="10" max="10" width="0.85546875" style="1" customWidth="1"/>
    <col min="11" max="11" width="11.5703125" style="24" bestFit="1" customWidth="1"/>
    <col min="12" max="16384" width="9.140625" style="1"/>
  </cols>
  <sheetData>
    <row r="1" spans="2:17" ht="5.0999999999999996" customHeight="1" x14ac:dyDescent="0.25">
      <c r="J1" s="26"/>
      <c r="K1" s="25"/>
    </row>
    <row r="2" spans="2:17" x14ac:dyDescent="0.25">
      <c r="B2" s="714" t="s">
        <v>296</v>
      </c>
      <c r="C2" s="714"/>
      <c r="D2" s="714"/>
      <c r="E2" s="714"/>
      <c r="F2" s="714"/>
      <c r="G2" s="714"/>
      <c r="H2" s="714"/>
      <c r="I2" s="714"/>
      <c r="J2" s="26"/>
      <c r="K2" s="25"/>
    </row>
    <row r="3" spans="2:17" x14ac:dyDescent="0.25">
      <c r="B3" s="54"/>
      <c r="C3" s="74" t="s">
        <v>323</v>
      </c>
      <c r="D3" s="55"/>
      <c r="E3" s="55"/>
      <c r="F3" s="55"/>
      <c r="G3" s="55"/>
      <c r="H3" s="56" t="s">
        <v>297</v>
      </c>
      <c r="I3" s="57">
        <v>44197</v>
      </c>
      <c r="J3" s="26"/>
      <c r="K3" s="25"/>
    </row>
    <row r="4" spans="2:17" ht="30" x14ac:dyDescent="0.25">
      <c r="B4" s="50" t="s">
        <v>11</v>
      </c>
      <c r="C4" s="51" t="s">
        <v>10</v>
      </c>
      <c r="D4" s="51" t="s">
        <v>12</v>
      </c>
      <c r="E4" s="51" t="s">
        <v>0</v>
      </c>
      <c r="F4" s="50" t="s">
        <v>13</v>
      </c>
      <c r="G4" s="51" t="s">
        <v>14</v>
      </c>
      <c r="H4" s="50" t="s">
        <v>15</v>
      </c>
      <c r="I4" s="50" t="s">
        <v>16</v>
      </c>
    </row>
    <row r="5" spans="2:17" x14ac:dyDescent="0.25">
      <c r="B5" s="58">
        <v>1</v>
      </c>
      <c r="C5" s="59" t="s">
        <v>20</v>
      </c>
      <c r="D5" s="60">
        <v>0.14063932136410096</v>
      </c>
      <c r="E5" s="59"/>
      <c r="F5" s="59"/>
      <c r="G5" s="59"/>
      <c r="H5" s="59"/>
      <c r="I5" s="61"/>
    </row>
    <row r="6" spans="2:17" ht="45" x14ac:dyDescent="0.25">
      <c r="B6" s="29">
        <v>5502112</v>
      </c>
      <c r="C6" s="320" t="s">
        <v>462</v>
      </c>
      <c r="D6" s="6" t="s">
        <v>2</v>
      </c>
      <c r="E6" s="82">
        <f>'Orça-SD'!E6</f>
        <v>16358.4</v>
      </c>
      <c r="F6" s="91">
        <v>6.97</v>
      </c>
      <c r="G6" s="9">
        <f>bdi_CD</f>
        <v>0.317</v>
      </c>
      <c r="H6" s="8">
        <f>TRUNC(F6*G6+F6,2)</f>
        <v>9.17</v>
      </c>
      <c r="I6" s="10">
        <f>TRUNC(H6*E6,2)</f>
        <v>150006.51999999999</v>
      </c>
    </row>
    <row r="7" spans="2:17" x14ac:dyDescent="0.25">
      <c r="B7" s="29">
        <v>5502985</v>
      </c>
      <c r="C7" s="320" t="s">
        <v>17</v>
      </c>
      <c r="D7" s="6" t="s">
        <v>3</v>
      </c>
      <c r="E7" s="82">
        <f>'Orça-SD'!E7</f>
        <v>16624.599999999999</v>
      </c>
      <c r="F7" s="91">
        <v>0.42</v>
      </c>
      <c r="G7" s="9">
        <f>bdi_CD</f>
        <v>0.317</v>
      </c>
      <c r="H7" s="8">
        <f t="shared" ref="H7:H9" si="0">TRUNC(F7*G7+F7,2)</f>
        <v>0.55000000000000004</v>
      </c>
      <c r="I7" s="10">
        <f t="shared" ref="I7:I10" si="1">TRUNC(H7*E7,2)</f>
        <v>9143.5300000000007</v>
      </c>
    </row>
    <row r="8" spans="2:17" x14ac:dyDescent="0.25">
      <c r="B8" s="29">
        <v>5503041</v>
      </c>
      <c r="C8" s="320" t="s">
        <v>18</v>
      </c>
      <c r="D8" s="6" t="s">
        <v>2</v>
      </c>
      <c r="E8" s="82">
        <f>'Orça-SD'!E8</f>
        <v>13845.3</v>
      </c>
      <c r="F8" s="91">
        <v>7.36</v>
      </c>
      <c r="G8" s="9">
        <f>bdi_CD</f>
        <v>0.317</v>
      </c>
      <c r="H8" s="8">
        <f t="shared" si="0"/>
        <v>9.69</v>
      </c>
      <c r="I8" s="10">
        <f t="shared" si="1"/>
        <v>134160.95000000001</v>
      </c>
    </row>
    <row r="9" spans="2:17" x14ac:dyDescent="0.25">
      <c r="B9" s="29">
        <v>4413942</v>
      </c>
      <c r="C9" s="320" t="s">
        <v>19</v>
      </c>
      <c r="D9" s="6" t="s">
        <v>2</v>
      </c>
      <c r="E9" s="82">
        <f>'Orça-SD'!E9</f>
        <v>3615.2</v>
      </c>
      <c r="F9" s="91">
        <v>1.5</v>
      </c>
      <c r="G9" s="9">
        <f>bdi_CD</f>
        <v>0.317</v>
      </c>
      <c r="H9" s="8">
        <f t="shared" si="0"/>
        <v>1.97</v>
      </c>
      <c r="I9" s="10">
        <f t="shared" si="1"/>
        <v>7121.94</v>
      </c>
    </row>
    <row r="10" spans="2:17" x14ac:dyDescent="0.25">
      <c r="B10" s="29">
        <v>4805757</v>
      </c>
      <c r="C10" s="320" t="s">
        <v>28</v>
      </c>
      <c r="D10" s="6" t="s">
        <v>2</v>
      </c>
      <c r="E10" s="82">
        <f>'Orça-SD'!E10</f>
        <v>5843.7</v>
      </c>
      <c r="F10" s="91">
        <v>6.71</v>
      </c>
      <c r="G10" s="9">
        <f>bdi_CD</f>
        <v>0.317</v>
      </c>
      <c r="H10" s="8">
        <f>TRUNC(F10*G10+F10,2)</f>
        <v>8.83</v>
      </c>
      <c r="I10" s="10">
        <f t="shared" si="1"/>
        <v>51599.87</v>
      </c>
    </row>
    <row r="11" spans="2:17" x14ac:dyDescent="0.25">
      <c r="B11" s="11"/>
      <c r="C11" s="12"/>
      <c r="D11" s="13"/>
      <c r="E11" s="14"/>
      <c r="F11" s="15"/>
      <c r="G11" s="16"/>
      <c r="H11" s="17" t="str">
        <f>"Sub Total - "&amp;PROPER(C5)&amp;" : "</f>
        <v xml:space="preserve">Sub Total - Terraplanagem : </v>
      </c>
      <c r="I11" s="18">
        <f>SUM(I6:I10)</f>
        <v>352032.81</v>
      </c>
      <c r="J11" s="28"/>
    </row>
    <row r="12" spans="2:17" x14ac:dyDescent="0.25">
      <c r="B12" s="58">
        <v>2</v>
      </c>
      <c r="C12" s="59" t="s">
        <v>5</v>
      </c>
      <c r="D12" s="60">
        <v>0.4945107136819889</v>
      </c>
      <c r="E12" s="59"/>
      <c r="F12" s="59"/>
      <c r="G12" s="59"/>
      <c r="H12" s="59"/>
      <c r="I12" s="61"/>
    </row>
    <row r="13" spans="2:17" ht="30" x14ac:dyDescent="0.25">
      <c r="B13" s="29">
        <v>4011466</v>
      </c>
      <c r="C13" s="320" t="s">
        <v>199</v>
      </c>
      <c r="D13" s="6" t="s">
        <v>23</v>
      </c>
      <c r="E13" s="7">
        <f>'Orça-SD'!E13</f>
        <v>285.38926799999996</v>
      </c>
      <c r="F13" s="91">
        <v>188.52</v>
      </c>
      <c r="G13" s="9">
        <f t="shared" ref="G13:G21" si="2">bdi_CD</f>
        <v>0.317</v>
      </c>
      <c r="H13" s="8">
        <f t="shared" ref="H13:H20" si="3">TRUNC(F13*G13+F13,2)</f>
        <v>248.28</v>
      </c>
      <c r="I13" s="10">
        <f t="shared" ref="I13:I20" si="4">TRUNC(H13*E13,2)</f>
        <v>70856.44</v>
      </c>
      <c r="K13" s="31">
        <v>4315.6000000000004</v>
      </c>
      <c r="L13" s="73">
        <v>0.1</v>
      </c>
      <c r="M13" s="32">
        <f>K13*L13*2.55</f>
        <v>1100.4780000000001</v>
      </c>
      <c r="N13" s="31">
        <v>703.79</v>
      </c>
      <c r="O13" s="73">
        <v>0.05</v>
      </c>
      <c r="P13" s="32">
        <f>N13*O13*2.55</f>
        <v>89.733225000000004</v>
      </c>
      <c r="Q13" s="32">
        <f>M13+P13</f>
        <v>1190.211225</v>
      </c>
    </row>
    <row r="14" spans="2:17" x14ac:dyDescent="0.25">
      <c r="B14" s="29">
        <v>4011276</v>
      </c>
      <c r="C14" s="320" t="s">
        <v>25</v>
      </c>
      <c r="D14" s="6" t="s">
        <v>2</v>
      </c>
      <c r="E14" s="7">
        <f>'Orça-SD'!E14</f>
        <v>466.18938000000003</v>
      </c>
      <c r="F14" s="91">
        <v>186.67</v>
      </c>
      <c r="G14" s="9">
        <f t="shared" si="2"/>
        <v>0.317</v>
      </c>
      <c r="H14" s="8">
        <f t="shared" si="3"/>
        <v>245.84</v>
      </c>
      <c r="I14" s="10">
        <f t="shared" si="4"/>
        <v>114607.99</v>
      </c>
      <c r="K14" s="31">
        <v>4477.5119999999997</v>
      </c>
      <c r="L14" s="73">
        <v>0.15</v>
      </c>
      <c r="M14" s="32">
        <f>K14*L14</f>
        <v>671.62679999999989</v>
      </c>
      <c r="Q14" s="32">
        <f>M14+P14</f>
        <v>671.62679999999989</v>
      </c>
    </row>
    <row r="15" spans="2:17" x14ac:dyDescent="0.25">
      <c r="B15" s="29">
        <v>4011279</v>
      </c>
      <c r="C15" s="320" t="s">
        <v>24</v>
      </c>
      <c r="D15" s="6" t="s">
        <v>2</v>
      </c>
      <c r="E15" s="7">
        <f>'Orça-SD'!E15</f>
        <v>615.36998160000007</v>
      </c>
      <c r="F15" s="91">
        <v>158.53</v>
      </c>
      <c r="G15" s="9">
        <f t="shared" si="2"/>
        <v>0.317</v>
      </c>
      <c r="H15" s="8">
        <f t="shared" si="3"/>
        <v>208.78</v>
      </c>
      <c r="I15" s="10">
        <f t="shared" si="4"/>
        <v>128476.94</v>
      </c>
      <c r="K15" s="31">
        <v>4693.7309999999998</v>
      </c>
      <c r="L15" s="73">
        <v>0.2</v>
      </c>
      <c r="M15" s="32">
        <f>K15*L15</f>
        <v>938.74620000000004</v>
      </c>
      <c r="Q15" s="32">
        <f>M15+P15</f>
        <v>938.74620000000004</v>
      </c>
    </row>
    <row r="16" spans="2:17" x14ac:dyDescent="0.25">
      <c r="B16" s="29">
        <v>4011351</v>
      </c>
      <c r="C16" s="320" t="s">
        <v>298</v>
      </c>
      <c r="D16" s="6" t="s">
        <v>3</v>
      </c>
      <c r="E16" s="7">
        <f>'Orça-SD'!E16</f>
        <v>3107.9292000000005</v>
      </c>
      <c r="F16" s="91">
        <v>0.35</v>
      </c>
      <c r="G16" s="9">
        <f t="shared" si="2"/>
        <v>0.317</v>
      </c>
      <c r="H16" s="8">
        <f t="shared" si="3"/>
        <v>0.46</v>
      </c>
      <c r="I16" s="10">
        <f t="shared" si="4"/>
        <v>1429.64</v>
      </c>
      <c r="K16" s="31">
        <f>K14</f>
        <v>4477.5119999999997</v>
      </c>
      <c r="L16" s="73"/>
      <c r="N16" s="31">
        <v>703.79</v>
      </c>
      <c r="Q16" s="32">
        <f>K16+N16</f>
        <v>5181.3019999999997</v>
      </c>
    </row>
    <row r="17" spans="2:17" x14ac:dyDescent="0.25">
      <c r="B17" s="29">
        <v>4011353</v>
      </c>
      <c r="C17" s="320" t="s">
        <v>26</v>
      </c>
      <c r="D17" s="6" t="s">
        <v>3</v>
      </c>
      <c r="E17" s="7">
        <f>'Orça-SD'!E17</f>
        <v>2797.9340000000002</v>
      </c>
      <c r="F17" s="91">
        <v>0.26</v>
      </c>
      <c r="G17" s="9">
        <f t="shared" si="2"/>
        <v>0.317</v>
      </c>
      <c r="H17" s="8">
        <f t="shared" si="3"/>
        <v>0.34</v>
      </c>
      <c r="I17" s="10">
        <f t="shared" si="4"/>
        <v>951.29</v>
      </c>
      <c r="K17" s="31"/>
      <c r="L17" s="73"/>
      <c r="N17" s="31">
        <f>N13</f>
        <v>703.79</v>
      </c>
      <c r="Q17" s="32">
        <f>N17</f>
        <v>703.79</v>
      </c>
    </row>
    <row r="18" spans="2:17" x14ac:dyDescent="0.25">
      <c r="B18" s="29">
        <v>4011209</v>
      </c>
      <c r="C18" s="320" t="s">
        <v>27</v>
      </c>
      <c r="D18" s="6" t="s">
        <v>3</v>
      </c>
      <c r="E18" s="7">
        <f>'Orça-SD'!E18</f>
        <v>3418.7221200000008</v>
      </c>
      <c r="F18" s="91">
        <v>1.02</v>
      </c>
      <c r="G18" s="9">
        <f t="shared" si="2"/>
        <v>0.317</v>
      </c>
      <c r="H18" s="8">
        <f t="shared" si="3"/>
        <v>1.34</v>
      </c>
      <c r="I18" s="10">
        <f t="shared" si="4"/>
        <v>4581.08</v>
      </c>
      <c r="K18" s="31">
        <v>5780.5450000000001</v>
      </c>
      <c r="L18" s="73"/>
    </row>
    <row r="19" spans="2:17" x14ac:dyDescent="0.25">
      <c r="B19" s="29">
        <v>4011479</v>
      </c>
      <c r="C19" s="320" t="s">
        <v>387</v>
      </c>
      <c r="D19" s="6" t="s">
        <v>2</v>
      </c>
      <c r="E19" s="7">
        <f>'Orça-SD'!E19</f>
        <v>14.4</v>
      </c>
      <c r="F19" s="91">
        <v>51.59</v>
      </c>
      <c r="G19" s="9">
        <f t="shared" si="2"/>
        <v>0.317</v>
      </c>
      <c r="H19" s="8">
        <f t="shared" si="3"/>
        <v>67.94</v>
      </c>
      <c r="I19" s="10">
        <f t="shared" si="4"/>
        <v>978.33</v>
      </c>
      <c r="K19" s="31"/>
      <c r="L19" s="73"/>
      <c r="N19" s="31">
        <f>N13</f>
        <v>703.79</v>
      </c>
      <c r="O19" s="73">
        <f>O13</f>
        <v>0.05</v>
      </c>
      <c r="P19" s="32">
        <f>N19*O19*2.55</f>
        <v>89.733225000000004</v>
      </c>
      <c r="Q19" s="32">
        <f>P19</f>
        <v>89.733225000000004</v>
      </c>
    </row>
    <row r="20" spans="2:17" x14ac:dyDescent="0.25">
      <c r="B20" s="29">
        <v>4915669</v>
      </c>
      <c r="C20" s="320" t="s">
        <v>29</v>
      </c>
      <c r="D20" s="6" t="s">
        <v>2</v>
      </c>
      <c r="E20" s="7">
        <f>'Orça-SD'!E20</f>
        <v>280</v>
      </c>
      <c r="F20" s="91">
        <v>7.01</v>
      </c>
      <c r="G20" s="9">
        <f t="shared" si="2"/>
        <v>0.317</v>
      </c>
      <c r="H20" s="8">
        <f t="shared" si="3"/>
        <v>9.23</v>
      </c>
      <c r="I20" s="10">
        <f t="shared" si="4"/>
        <v>2584.4</v>
      </c>
      <c r="K20" s="31">
        <v>2200</v>
      </c>
      <c r="L20" s="73">
        <v>0.4</v>
      </c>
      <c r="M20" s="32">
        <f>K20*L20</f>
        <v>880</v>
      </c>
    </row>
    <row r="21" spans="2:17" ht="30" x14ac:dyDescent="0.25">
      <c r="B21" s="29" t="s">
        <v>441</v>
      </c>
      <c r="C21" s="320" t="s">
        <v>571</v>
      </c>
      <c r="D21" s="6" t="s">
        <v>3</v>
      </c>
      <c r="E21" s="7">
        <f>'Orça-SD'!E21</f>
        <v>19603.744999999999</v>
      </c>
      <c r="F21" s="91">
        <v>35.380000000000003</v>
      </c>
      <c r="G21" s="9">
        <f t="shared" si="2"/>
        <v>0.317</v>
      </c>
      <c r="H21" s="8">
        <f t="shared" ref="H21" si="5">TRUNC(F21*G21+F21,2)</f>
        <v>46.59</v>
      </c>
      <c r="I21" s="10">
        <f t="shared" ref="I21" si="6">TRUNC(H21*E21,2)</f>
        <v>913338.47</v>
      </c>
      <c r="K21" s="31"/>
      <c r="L21" s="73"/>
      <c r="N21" s="31">
        <f>N15</f>
        <v>0</v>
      </c>
      <c r="O21" s="73">
        <f>O15</f>
        <v>0</v>
      </c>
      <c r="P21" s="32">
        <f>N21*O21*2.55</f>
        <v>0</v>
      </c>
      <c r="Q21" s="32">
        <f>P21</f>
        <v>0</v>
      </c>
    </row>
    <row r="22" spans="2:17" x14ac:dyDescent="0.25">
      <c r="B22" s="11"/>
      <c r="C22" s="12"/>
      <c r="D22" s="13"/>
      <c r="E22" s="14"/>
      <c r="F22" s="15"/>
      <c r="G22" s="16"/>
      <c r="H22" s="17" t="str">
        <f>"Sub Total - "&amp;PROPER(C12)&amp;" : "</f>
        <v xml:space="preserve">Sub Total - Pavimentação : </v>
      </c>
      <c r="I22" s="18">
        <f>SUM(I13:I21)</f>
        <v>1237804.58</v>
      </c>
      <c r="J22" s="28"/>
    </row>
    <row r="23" spans="2:17" x14ac:dyDescent="0.25">
      <c r="B23" s="58">
        <v>3</v>
      </c>
      <c r="C23" s="59" t="s">
        <v>6</v>
      </c>
      <c r="D23" s="60">
        <v>0.1138096136242447</v>
      </c>
      <c r="E23" s="59"/>
      <c r="F23" s="59"/>
      <c r="G23" s="59"/>
      <c r="H23" s="59"/>
      <c r="I23" s="61"/>
    </row>
    <row r="24" spans="2:17" ht="30" x14ac:dyDescent="0.25">
      <c r="B24" s="29">
        <v>804037</v>
      </c>
      <c r="C24" s="320" t="s">
        <v>463</v>
      </c>
      <c r="D24" s="6" t="s">
        <v>4</v>
      </c>
      <c r="E24" s="7">
        <f>'Orça-SD'!E24</f>
        <v>177</v>
      </c>
      <c r="F24" s="91">
        <v>798.4</v>
      </c>
      <c r="G24" s="9">
        <f>bdi_CD</f>
        <v>0.317</v>
      </c>
      <c r="H24" s="8">
        <f t="shared" ref="H24:H26" si="7">TRUNC(F24*G24+F24,2)</f>
        <v>1051.49</v>
      </c>
      <c r="I24" s="10">
        <f t="shared" ref="I24:I26" si="8">TRUNC(H24*E24,2)</f>
        <v>186113.73</v>
      </c>
    </row>
    <row r="25" spans="2:17" ht="30" x14ac:dyDescent="0.25">
      <c r="B25" s="29">
        <v>804393</v>
      </c>
      <c r="C25" s="320" t="s">
        <v>464</v>
      </c>
      <c r="D25" s="6" t="s">
        <v>1</v>
      </c>
      <c r="E25" s="7">
        <f>'Orça-SD'!E25</f>
        <v>18</v>
      </c>
      <c r="F25" s="91">
        <v>2496.7800000000002</v>
      </c>
      <c r="G25" s="9">
        <f>bdi_CD</f>
        <v>0.317</v>
      </c>
      <c r="H25" s="8">
        <f t="shared" si="7"/>
        <v>3288.25</v>
      </c>
      <c r="I25" s="10">
        <f t="shared" si="8"/>
        <v>59188.5</v>
      </c>
    </row>
    <row r="26" spans="2:17" ht="30" x14ac:dyDescent="0.25">
      <c r="B26" s="29">
        <v>2003321</v>
      </c>
      <c r="C26" s="320" t="s">
        <v>484</v>
      </c>
      <c r="D26" s="6" t="s">
        <v>4</v>
      </c>
      <c r="E26" s="7">
        <f>'Orça-SD'!E26</f>
        <v>471</v>
      </c>
      <c r="F26" s="91">
        <v>63.8</v>
      </c>
      <c r="G26" s="9">
        <f>bdi_CD</f>
        <v>0.317</v>
      </c>
      <c r="H26" s="8">
        <f t="shared" si="7"/>
        <v>84.02</v>
      </c>
      <c r="I26" s="10">
        <f t="shared" si="8"/>
        <v>39573.42</v>
      </c>
    </row>
    <row r="27" spans="2:17" x14ac:dyDescent="0.25">
      <c r="B27" s="11"/>
      <c r="C27" s="12"/>
      <c r="D27" s="13"/>
      <c r="E27" s="14"/>
      <c r="F27" s="15"/>
      <c r="G27" s="16"/>
      <c r="H27" s="17" t="str">
        <f>"Sub Total - "&amp;PROPER(C23)&amp;" : "</f>
        <v xml:space="preserve">Sub Total - Drenagem : </v>
      </c>
      <c r="I27" s="18">
        <f>SUM(I24:I26)</f>
        <v>284875.65000000002</v>
      </c>
      <c r="J27" s="28"/>
    </row>
    <row r="28" spans="2:17" x14ac:dyDescent="0.25">
      <c r="B28" s="58">
        <v>4</v>
      </c>
      <c r="C28" s="59" t="s">
        <v>7</v>
      </c>
      <c r="D28" s="60">
        <v>7.0042025784367565E-2</v>
      </c>
      <c r="E28" s="59"/>
      <c r="F28" s="59"/>
      <c r="G28" s="59"/>
      <c r="H28" s="59"/>
      <c r="I28" s="61"/>
    </row>
    <row r="29" spans="2:17" ht="30" x14ac:dyDescent="0.25">
      <c r="B29" s="29">
        <v>2003377</v>
      </c>
      <c r="C29" s="320" t="s">
        <v>416</v>
      </c>
      <c r="D29" s="6" t="s">
        <v>4</v>
      </c>
      <c r="E29" s="7">
        <f>'Orça-SD'!E29</f>
        <v>5321</v>
      </c>
      <c r="F29" s="91">
        <v>24.19</v>
      </c>
      <c r="G29" s="9">
        <f>bdi_CD</f>
        <v>0.317</v>
      </c>
      <c r="H29" s="8">
        <f t="shared" ref="H29" si="9">TRUNC(F29*G29+F29,2)</f>
        <v>31.85</v>
      </c>
      <c r="I29" s="10">
        <f t="shared" ref="I29" si="10">TRUNC(H29*E29,2)</f>
        <v>169473.85</v>
      </c>
    </row>
    <row r="30" spans="2:17" x14ac:dyDescent="0.25">
      <c r="B30" s="29">
        <v>4413996</v>
      </c>
      <c r="C30" s="320" t="s">
        <v>8</v>
      </c>
      <c r="D30" s="6" t="s">
        <v>3</v>
      </c>
      <c r="E30" s="7">
        <f>'Orça-SD'!E30</f>
        <v>498.51800000000003</v>
      </c>
      <c r="F30" s="91">
        <v>8.91</v>
      </c>
      <c r="G30" s="9">
        <f>bdi_CD</f>
        <v>0.317</v>
      </c>
      <c r="H30" s="8">
        <f t="shared" ref="H30" si="11">TRUNC(F30*G30+F30,2)</f>
        <v>11.73</v>
      </c>
      <c r="I30" s="10">
        <f t="shared" ref="I30" si="12">TRUNC(H30*E30,2)</f>
        <v>5847.61</v>
      </c>
    </row>
    <row r="31" spans="2:17" x14ac:dyDescent="0.25">
      <c r="B31" s="11"/>
      <c r="C31" s="12"/>
      <c r="D31" s="13"/>
      <c r="E31" s="14"/>
      <c r="F31" s="15"/>
      <c r="G31" s="16"/>
      <c r="H31" s="17" t="str">
        <f>"Sub Total - "&amp;PROPER(C28)&amp;" : "</f>
        <v xml:space="preserve">Sub Total - Obras Complementares : </v>
      </c>
      <c r="I31" s="18">
        <f>SUM(I29:I30)</f>
        <v>175321.46</v>
      </c>
      <c r="J31" s="28"/>
    </row>
    <row r="32" spans="2:17" x14ac:dyDescent="0.25">
      <c r="B32" s="58">
        <v>5</v>
      </c>
      <c r="C32" s="59" t="s">
        <v>9</v>
      </c>
      <c r="D32" s="60">
        <v>2.4207831864550458E-2</v>
      </c>
      <c r="E32" s="59"/>
      <c r="F32" s="59"/>
      <c r="G32" s="59"/>
      <c r="H32" s="59"/>
      <c r="I32" s="61"/>
      <c r="J32" s="62"/>
    </row>
    <row r="33" spans="2:11" x14ac:dyDescent="0.25">
      <c r="B33" s="29">
        <v>5213572</v>
      </c>
      <c r="C33" s="320" t="s">
        <v>400</v>
      </c>
      <c r="D33" s="6" t="s">
        <v>3</v>
      </c>
      <c r="E33" s="7">
        <f>'Orça-SD'!E33</f>
        <v>39.340000000000003</v>
      </c>
      <c r="F33" s="91">
        <v>592.04999999999995</v>
      </c>
      <c r="G33" s="9">
        <f t="shared" ref="G33:G39" si="13">bdi_CD</f>
        <v>0.317</v>
      </c>
      <c r="H33" s="8">
        <f t="shared" ref="H33:H39" si="14">TRUNC(F33*G33+F33,2)</f>
        <v>779.72</v>
      </c>
      <c r="I33" s="10">
        <f t="shared" ref="I33:I39" si="15">TRUNC(H33*E33,2)</f>
        <v>30674.18</v>
      </c>
    </row>
    <row r="34" spans="2:11" ht="30" x14ac:dyDescent="0.25">
      <c r="B34" s="29">
        <v>5216111</v>
      </c>
      <c r="C34" s="320" t="s">
        <v>401</v>
      </c>
      <c r="D34" s="6" t="s">
        <v>1</v>
      </c>
      <c r="E34" s="7">
        <f>'Orça-SD'!E34</f>
        <v>39</v>
      </c>
      <c r="F34" s="91">
        <v>106.5</v>
      </c>
      <c r="G34" s="9">
        <f t="shared" si="13"/>
        <v>0.317</v>
      </c>
      <c r="H34" s="8">
        <f t="shared" si="14"/>
        <v>140.26</v>
      </c>
      <c r="I34" s="10">
        <f t="shared" si="15"/>
        <v>5470.14</v>
      </c>
    </row>
    <row r="35" spans="2:11" ht="30" x14ac:dyDescent="0.25">
      <c r="B35" s="29">
        <v>5213402</v>
      </c>
      <c r="C35" s="320" t="s">
        <v>402</v>
      </c>
      <c r="D35" s="6" t="s">
        <v>3</v>
      </c>
      <c r="E35" s="7">
        <f>'Orça-SD'!E35</f>
        <v>386.25</v>
      </c>
      <c r="F35" s="91">
        <v>15.66</v>
      </c>
      <c r="G35" s="9">
        <f t="shared" si="13"/>
        <v>0.317</v>
      </c>
      <c r="H35" s="8">
        <f t="shared" si="14"/>
        <v>20.62</v>
      </c>
      <c r="I35" s="10">
        <f t="shared" si="15"/>
        <v>7964.47</v>
      </c>
    </row>
    <row r="36" spans="2:11" ht="30" x14ac:dyDescent="0.25">
      <c r="B36" s="29">
        <v>5213406</v>
      </c>
      <c r="C36" s="320" t="s">
        <v>403</v>
      </c>
      <c r="D36" s="6" t="s">
        <v>3</v>
      </c>
      <c r="E36" s="7">
        <f>'Orça-SD'!E36</f>
        <v>63.844999999999999</v>
      </c>
      <c r="F36" s="91">
        <v>28.23</v>
      </c>
      <c r="G36" s="9">
        <f t="shared" si="13"/>
        <v>0.317</v>
      </c>
      <c r="H36" s="8">
        <f t="shared" si="14"/>
        <v>37.17</v>
      </c>
      <c r="I36" s="10">
        <f t="shared" si="15"/>
        <v>2373.11</v>
      </c>
    </row>
    <row r="37" spans="2:11" ht="30" x14ac:dyDescent="0.25">
      <c r="B37" s="29">
        <v>5219605</v>
      </c>
      <c r="C37" s="320" t="s">
        <v>31</v>
      </c>
      <c r="D37" s="6" t="s">
        <v>1</v>
      </c>
      <c r="E37" s="7">
        <f>'Orça-SD'!E37</f>
        <v>209</v>
      </c>
      <c r="F37" s="91">
        <v>24.89</v>
      </c>
      <c r="G37" s="9">
        <f t="shared" si="13"/>
        <v>0.317</v>
      </c>
      <c r="H37" s="8">
        <f t="shared" si="14"/>
        <v>32.78</v>
      </c>
      <c r="I37" s="10">
        <f t="shared" si="15"/>
        <v>6851.02</v>
      </c>
    </row>
    <row r="38" spans="2:11" ht="30" x14ac:dyDescent="0.25">
      <c r="B38" s="29">
        <v>5219644</v>
      </c>
      <c r="C38" s="320" t="s">
        <v>404</v>
      </c>
      <c r="D38" s="6" t="s">
        <v>1</v>
      </c>
      <c r="E38" s="7">
        <f>'Orça-SD'!E38</f>
        <v>20</v>
      </c>
      <c r="F38" s="91">
        <v>72.08</v>
      </c>
      <c r="G38" s="9">
        <f t="shared" si="13"/>
        <v>0.317</v>
      </c>
      <c r="H38" s="8">
        <f t="shared" si="14"/>
        <v>94.92</v>
      </c>
      <c r="I38" s="10">
        <f t="shared" si="15"/>
        <v>1898.4</v>
      </c>
    </row>
    <row r="39" spans="2:11" ht="30" x14ac:dyDescent="0.25">
      <c r="B39" s="29">
        <v>5219643</v>
      </c>
      <c r="C39" s="320" t="s">
        <v>405</v>
      </c>
      <c r="D39" s="6" t="s">
        <v>1</v>
      </c>
      <c r="E39" s="7">
        <f>'Orça-SD'!E39</f>
        <v>55</v>
      </c>
      <c r="F39" s="91">
        <v>74.040000000000006</v>
      </c>
      <c r="G39" s="9">
        <f t="shared" si="13"/>
        <v>0.317</v>
      </c>
      <c r="H39" s="8">
        <f t="shared" si="14"/>
        <v>97.51</v>
      </c>
      <c r="I39" s="10">
        <f t="shared" si="15"/>
        <v>5363.05</v>
      </c>
    </row>
    <row r="40" spans="2:11" x14ac:dyDescent="0.25">
      <c r="B40" s="11"/>
      <c r="C40" s="12"/>
      <c r="D40" s="13"/>
      <c r="E40" s="14"/>
      <c r="F40" s="15"/>
      <c r="G40" s="16"/>
      <c r="H40" s="17" t="str">
        <f>"Sub Total - "&amp;PROPER(C32)&amp;" : "</f>
        <v xml:space="preserve">Sub Total - Sinalização : </v>
      </c>
      <c r="I40" s="18">
        <f>SUM(I33:I39)</f>
        <v>60594.37</v>
      </c>
      <c r="J40" s="28"/>
    </row>
    <row r="41" spans="2:11" x14ac:dyDescent="0.25">
      <c r="B41" s="58">
        <v>6</v>
      </c>
      <c r="C41" s="59" t="s">
        <v>22</v>
      </c>
      <c r="D41" s="60">
        <v>5.8689495286966382E-2</v>
      </c>
      <c r="E41" s="59"/>
      <c r="F41" s="59"/>
      <c r="G41" s="59"/>
      <c r="H41" s="59"/>
      <c r="I41" s="61"/>
    </row>
    <row r="42" spans="2:11" x14ac:dyDescent="0.25">
      <c r="B42" s="29" t="s">
        <v>505</v>
      </c>
      <c r="C42" s="320" t="s">
        <v>300</v>
      </c>
      <c r="D42" s="6" t="s">
        <v>23</v>
      </c>
      <c r="E42" s="7">
        <f>E13*K42</f>
        <v>15.696409739999998</v>
      </c>
      <c r="F42" s="91">
        <v>5739.04</v>
      </c>
      <c r="G42" s="9">
        <f t="shared" ref="G42:G47" si="16">bdi_CD_dif</f>
        <v>0.21240000000000001</v>
      </c>
      <c r="H42" s="8">
        <f t="shared" ref="H42:H47" si="17">TRUNC(F42*G42+F42,2)</f>
        <v>6958.01</v>
      </c>
      <c r="I42" s="10">
        <f t="shared" ref="I42:I47" si="18">TRUNC(H42*E42,2)</f>
        <v>109215.77</v>
      </c>
      <c r="K42" s="27">
        <v>5.5E-2</v>
      </c>
    </row>
    <row r="43" spans="2:11" x14ac:dyDescent="0.25">
      <c r="B43" s="29" t="s">
        <v>507</v>
      </c>
      <c r="C43" s="320" t="s">
        <v>301</v>
      </c>
      <c r="D43" s="6" t="s">
        <v>23</v>
      </c>
      <c r="E43" s="7">
        <f>E42</f>
        <v>15.696409739999998</v>
      </c>
      <c r="F43" s="91">
        <v>163.52000000000001</v>
      </c>
      <c r="G43" s="9">
        <f t="shared" si="16"/>
        <v>0.21240000000000001</v>
      </c>
      <c r="H43" s="8">
        <f t="shared" si="17"/>
        <v>198.25</v>
      </c>
      <c r="I43" s="10">
        <f t="shared" si="18"/>
        <v>3111.81</v>
      </c>
      <c r="K43" s="27"/>
    </row>
    <row r="44" spans="2:11" x14ac:dyDescent="0.25">
      <c r="B44" s="29" t="s">
        <v>566</v>
      </c>
      <c r="C44" s="320" t="s">
        <v>200</v>
      </c>
      <c r="D44" s="6" t="s">
        <v>23</v>
      </c>
      <c r="E44" s="7">
        <f>E16*K44</f>
        <v>4.0403079600000007</v>
      </c>
      <c r="F44" s="91">
        <v>5682.41</v>
      </c>
      <c r="G44" s="9">
        <f t="shared" si="16"/>
        <v>0.21240000000000001</v>
      </c>
      <c r="H44" s="8">
        <f t="shared" si="17"/>
        <v>6889.35</v>
      </c>
      <c r="I44" s="10">
        <f t="shared" si="18"/>
        <v>27835.09</v>
      </c>
      <c r="K44" s="27">
        <v>1.2999999999999999E-3</v>
      </c>
    </row>
    <row r="45" spans="2:11" x14ac:dyDescent="0.25">
      <c r="B45" s="29" t="s">
        <v>479</v>
      </c>
      <c r="C45" s="320" t="s">
        <v>201</v>
      </c>
      <c r="D45" s="6" t="s">
        <v>23</v>
      </c>
      <c r="E45" s="7">
        <f>E44</f>
        <v>4.0403079600000007</v>
      </c>
      <c r="F45" s="91">
        <v>299.45</v>
      </c>
      <c r="G45" s="9">
        <f t="shared" si="16"/>
        <v>0.21240000000000001</v>
      </c>
      <c r="H45" s="8">
        <f t="shared" si="17"/>
        <v>363.05</v>
      </c>
      <c r="I45" s="10">
        <f t="shared" si="18"/>
        <v>1466.83</v>
      </c>
      <c r="K45" s="27"/>
    </row>
    <row r="46" spans="2:11" x14ac:dyDescent="0.25">
      <c r="B46" s="29" t="s">
        <v>477</v>
      </c>
      <c r="C46" s="320" t="s">
        <v>33</v>
      </c>
      <c r="D46" s="6" t="s">
        <v>23</v>
      </c>
      <c r="E46" s="7">
        <f>E17*K46</f>
        <v>1.2590703000000001</v>
      </c>
      <c r="F46" s="91">
        <v>3292.48</v>
      </c>
      <c r="G46" s="9">
        <f t="shared" si="16"/>
        <v>0.21240000000000001</v>
      </c>
      <c r="H46" s="8">
        <f t="shared" si="17"/>
        <v>3991.8</v>
      </c>
      <c r="I46" s="10">
        <f t="shared" si="18"/>
        <v>5025.95</v>
      </c>
      <c r="K46" s="27">
        <v>4.4999999999999999E-4</v>
      </c>
    </row>
    <row r="47" spans="2:11" x14ac:dyDescent="0.25">
      <c r="B47" s="29" t="s">
        <v>478</v>
      </c>
      <c r="C47" s="320" t="s">
        <v>56</v>
      </c>
      <c r="D47" s="6" t="s">
        <v>23</v>
      </c>
      <c r="E47" s="7">
        <f>E46</f>
        <v>1.2590703000000001</v>
      </c>
      <c r="F47" s="91">
        <v>163.52000000000001</v>
      </c>
      <c r="G47" s="9">
        <f t="shared" si="16"/>
        <v>0.21240000000000001</v>
      </c>
      <c r="H47" s="8">
        <f t="shared" si="17"/>
        <v>198.25</v>
      </c>
      <c r="I47" s="10">
        <f t="shared" si="18"/>
        <v>249.61</v>
      </c>
    </row>
    <row r="48" spans="2:11" x14ac:dyDescent="0.25">
      <c r="B48" s="11"/>
      <c r="C48" s="12"/>
      <c r="D48" s="13"/>
      <c r="E48" s="14"/>
      <c r="F48" s="15"/>
      <c r="G48" s="16"/>
      <c r="H48" s="17" t="str">
        <f>"Sub Total - "&amp;PROPER(C41)&amp;" : "</f>
        <v xml:space="preserve">Sub Total - Ligantes Asfálticos : </v>
      </c>
      <c r="I48" s="18">
        <f>SUM(I42:I47)</f>
        <v>146905.06</v>
      </c>
      <c r="J48" s="28"/>
    </row>
    <row r="49" spans="2:10" x14ac:dyDescent="0.25">
      <c r="B49" s="58">
        <v>7</v>
      </c>
      <c r="C49" s="59" t="s">
        <v>21</v>
      </c>
      <c r="D49" s="60">
        <v>2.1587122547607179E-2</v>
      </c>
      <c r="E49" s="59"/>
      <c r="F49" s="59"/>
      <c r="G49" s="59"/>
      <c r="H49" s="59"/>
      <c r="I49" s="61"/>
    </row>
    <row r="50" spans="2:10" ht="30" x14ac:dyDescent="0.25">
      <c r="B50" s="29">
        <v>5914389</v>
      </c>
      <c r="C50" s="320" t="s">
        <v>128</v>
      </c>
      <c r="D50" s="6" t="s">
        <v>133</v>
      </c>
      <c r="E50" s="7">
        <f>VLOOKUP(B50,Transp.!$B$127:$K$132,10,FALSE)</f>
        <v>51388.04270000002</v>
      </c>
      <c r="F50" s="91">
        <v>0.71</v>
      </c>
      <c r="G50" s="9">
        <f t="shared" ref="G50:G55" si="19">bdi_CD</f>
        <v>0.317</v>
      </c>
      <c r="H50" s="8">
        <f t="shared" ref="H50:H55" si="20">TRUNC(F50*G50+F50,2)</f>
        <v>0.93</v>
      </c>
      <c r="I50" s="10">
        <f t="shared" ref="I50:I55" si="21">TRUNC(H50*E50,2)</f>
        <v>47790.87</v>
      </c>
    </row>
    <row r="51" spans="2:10" ht="30" x14ac:dyDescent="0.25">
      <c r="B51" s="29">
        <v>5914366</v>
      </c>
      <c r="C51" s="320" t="s">
        <v>129</v>
      </c>
      <c r="D51" s="6" t="s">
        <v>133</v>
      </c>
      <c r="E51" s="7">
        <f>VLOOKUP(B51,Transp.!$B$127:$K$132,10,FALSE)</f>
        <v>55.471500000000006</v>
      </c>
      <c r="F51" s="91">
        <v>0.55000000000000004</v>
      </c>
      <c r="G51" s="9">
        <f t="shared" si="19"/>
        <v>0.317</v>
      </c>
      <c r="H51" s="8">
        <f t="shared" si="20"/>
        <v>0.72</v>
      </c>
      <c r="I51" s="10">
        <f t="shared" si="21"/>
        <v>39.93</v>
      </c>
    </row>
    <row r="52" spans="2:10" ht="30" x14ac:dyDescent="0.25">
      <c r="B52" s="29">
        <v>5914344</v>
      </c>
      <c r="C52" s="320" t="s">
        <v>130</v>
      </c>
      <c r="D52" s="6" t="s">
        <v>133</v>
      </c>
      <c r="E52" s="7">
        <f>VLOOKUP(B52,Transp.!$B$127:$K$132,10,FALSE)</f>
        <v>577.64</v>
      </c>
      <c r="F52" s="91">
        <v>0.78</v>
      </c>
      <c r="G52" s="9">
        <f t="shared" si="19"/>
        <v>0.317</v>
      </c>
      <c r="H52" s="8">
        <f t="shared" si="20"/>
        <v>1.02</v>
      </c>
      <c r="I52" s="10">
        <f t="shared" si="21"/>
        <v>589.19000000000005</v>
      </c>
    </row>
    <row r="53" spans="2:10" ht="30" x14ac:dyDescent="0.25">
      <c r="B53" s="29">
        <v>5914614</v>
      </c>
      <c r="C53" s="320" t="s">
        <v>450</v>
      </c>
      <c r="D53" s="6" t="s">
        <v>133</v>
      </c>
      <c r="E53" s="7">
        <f>VLOOKUP(B53,Transp.!$B$127:$K$132,10,FALSE)</f>
        <v>1824.0440000000001</v>
      </c>
      <c r="F53" s="91">
        <v>1.64</v>
      </c>
      <c r="G53" s="9">
        <f t="shared" si="19"/>
        <v>0.317</v>
      </c>
      <c r="H53" s="8">
        <f t="shared" si="20"/>
        <v>2.15</v>
      </c>
      <c r="I53" s="10">
        <f t="shared" si="21"/>
        <v>3921.69</v>
      </c>
    </row>
    <row r="54" spans="2:10" ht="30" x14ac:dyDescent="0.25">
      <c r="B54" s="29">
        <v>5914479</v>
      </c>
      <c r="C54" s="320" t="s">
        <v>131</v>
      </c>
      <c r="D54" s="6" t="s">
        <v>133</v>
      </c>
      <c r="E54" s="7">
        <f>VLOOKUP(B54,Transp.!$B$127:$K$132,10,FALSE)</f>
        <v>1913.6591999999996</v>
      </c>
      <c r="F54" s="91">
        <v>0.67</v>
      </c>
      <c r="G54" s="9">
        <f t="shared" si="19"/>
        <v>0.317</v>
      </c>
      <c r="H54" s="8">
        <f t="shared" si="20"/>
        <v>0.88</v>
      </c>
      <c r="I54" s="10">
        <f t="shared" si="21"/>
        <v>1684.02</v>
      </c>
    </row>
    <row r="55" spans="2:10" ht="30" x14ac:dyDescent="0.25">
      <c r="B55" s="29">
        <v>5915324</v>
      </c>
      <c r="C55" s="320" t="s">
        <v>132</v>
      </c>
      <c r="D55" s="6" t="s">
        <v>133</v>
      </c>
      <c r="E55" s="7">
        <f>VLOOKUP(B55,Transp.!$B$127:$K$132,10,FALSE)</f>
        <v>6.157</v>
      </c>
      <c r="F55" s="91">
        <v>1.0900000000000001</v>
      </c>
      <c r="G55" s="9">
        <f t="shared" si="19"/>
        <v>0.317</v>
      </c>
      <c r="H55" s="8">
        <f t="shared" si="20"/>
        <v>1.43</v>
      </c>
      <c r="I55" s="10">
        <f t="shared" si="21"/>
        <v>8.8000000000000007</v>
      </c>
    </row>
    <row r="56" spans="2:10" x14ac:dyDescent="0.25">
      <c r="B56" s="11"/>
      <c r="C56" s="12"/>
      <c r="D56" s="13"/>
      <c r="E56" s="14"/>
      <c r="F56" s="15"/>
      <c r="G56" s="16"/>
      <c r="H56" s="17" t="str">
        <f>"Sub Total - "&amp;PROPER(C49)&amp;" : "</f>
        <v xml:space="preserve">Sub Total - Transportes : </v>
      </c>
      <c r="I56" s="18">
        <f>SUM(I50:I55)</f>
        <v>54034.500000000007</v>
      </c>
      <c r="J56" s="28"/>
    </row>
    <row r="57" spans="2:10" x14ac:dyDescent="0.25">
      <c r="B57" s="58">
        <v>8</v>
      </c>
      <c r="C57" s="59" t="s">
        <v>573</v>
      </c>
      <c r="D57" s="60">
        <v>7.6513875846173793E-2</v>
      </c>
      <c r="E57" s="59"/>
      <c r="F57" s="59"/>
      <c r="G57" s="59"/>
      <c r="H57" s="59"/>
      <c r="I57" s="61"/>
    </row>
    <row r="58" spans="2:10" x14ac:dyDescent="0.25">
      <c r="B58" s="29" t="s">
        <v>480</v>
      </c>
      <c r="C58" s="320" t="s">
        <v>136</v>
      </c>
      <c r="D58" s="6" t="s">
        <v>135</v>
      </c>
      <c r="E58" s="7">
        <v>1</v>
      </c>
      <c r="F58" s="8">
        <v>29913.689999999995</v>
      </c>
      <c r="G58" s="9">
        <f>bdi_CD</f>
        <v>0.317</v>
      </c>
      <c r="H58" s="8">
        <f t="shared" ref="H58:H60" si="22">TRUNC(F58*G58+F58,2)</f>
        <v>39396.32</v>
      </c>
      <c r="I58" s="10">
        <f t="shared" ref="I58:I60" si="23">TRUNC(H58*E58,2)</f>
        <v>39396.32</v>
      </c>
    </row>
    <row r="59" spans="2:10" x14ac:dyDescent="0.25">
      <c r="B59" s="29" t="s">
        <v>481</v>
      </c>
      <c r="C59" s="320" t="s">
        <v>137</v>
      </c>
      <c r="D59" s="6" t="s">
        <v>135</v>
      </c>
      <c r="E59" s="7">
        <v>1</v>
      </c>
      <c r="F59" s="8">
        <v>22986.092805696</v>
      </c>
      <c r="G59" s="9">
        <f>bdi_CD</f>
        <v>0.317</v>
      </c>
      <c r="H59" s="8">
        <f t="shared" si="22"/>
        <v>30272.68</v>
      </c>
      <c r="I59" s="10">
        <f t="shared" si="23"/>
        <v>30272.68</v>
      </c>
    </row>
    <row r="60" spans="2:10" x14ac:dyDescent="0.25">
      <c r="B60" s="29" t="s">
        <v>482</v>
      </c>
      <c r="C60" s="320" t="s">
        <v>134</v>
      </c>
      <c r="D60" s="6" t="s">
        <v>365</v>
      </c>
      <c r="E60" s="7">
        <v>18</v>
      </c>
      <c r="F60" s="8">
        <v>5140.143</v>
      </c>
      <c r="G60" s="9">
        <f>bdi_CD</f>
        <v>0.317</v>
      </c>
      <c r="H60" s="8">
        <f t="shared" si="22"/>
        <v>6769.56</v>
      </c>
      <c r="I60" s="10">
        <f t="shared" si="23"/>
        <v>121852.08</v>
      </c>
    </row>
    <row r="61" spans="2:10" x14ac:dyDescent="0.25">
      <c r="B61" s="11"/>
      <c r="C61" s="12"/>
      <c r="D61" s="13"/>
      <c r="E61" s="14"/>
      <c r="F61" s="15"/>
      <c r="G61" s="16"/>
      <c r="H61" s="17" t="str">
        <f>"Sub Total - "&amp;PROPER(C57)&amp;" : "</f>
        <v xml:space="preserve">Sub Total - Mobilização E Desmobilização, Canteiro E Adm. Local : </v>
      </c>
      <c r="I61" s="18">
        <f>SUM(I58:I60)</f>
        <v>191521.08000000002</v>
      </c>
      <c r="J61" s="28"/>
    </row>
    <row r="62" spans="2:10" ht="9.9499999999999993" customHeight="1" x14ac:dyDescent="0.25"/>
    <row r="63" spans="2:10" x14ac:dyDescent="0.25">
      <c r="B63" s="20"/>
      <c r="C63" s="21"/>
      <c r="D63" s="21"/>
      <c r="E63" s="21"/>
      <c r="F63" s="21"/>
      <c r="G63" s="21"/>
      <c r="H63" s="22" t="s">
        <v>30</v>
      </c>
      <c r="I63" s="23">
        <f>I56+I48+I40+I31+I27+I22+I11+I61</f>
        <v>2503089.5100000002</v>
      </c>
    </row>
    <row r="64" spans="2:10" ht="9.9499999999999993" customHeight="1" x14ac:dyDescent="0.25"/>
    <row r="65" spans="9:9" x14ac:dyDescent="0.25">
      <c r="I65" s="19"/>
    </row>
  </sheetData>
  <mergeCells count="1">
    <mergeCell ref="B2:I2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94" fitToHeight="0" orientation="landscape" r:id="rId1"/>
  <rowBreaks count="2" manualBreakCount="2">
    <brk id="27" max="9" man="1"/>
    <brk id="48" max="9" man="1"/>
  </rowBreaks>
  <ignoredErrors>
    <ignoredError sqref="E44:E4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6"/>
  <sheetViews>
    <sheetView view="pageBreakPreview" topLeftCell="A11" zoomScale="110" zoomScaleNormal="75" zoomScaleSheetLayoutView="110" workbookViewId="0">
      <selection activeCell="C39" sqref="C39:F39"/>
    </sheetView>
  </sheetViews>
  <sheetFormatPr defaultRowHeight="12.75" x14ac:dyDescent="0.25"/>
  <cols>
    <col min="1" max="1" width="1" style="191" customWidth="1"/>
    <col min="2" max="2" width="24.5703125" style="195" customWidth="1"/>
    <col min="3" max="3" width="11.5703125" style="195" customWidth="1"/>
    <col min="4" max="4" width="12.85546875" style="195" customWidth="1"/>
    <col min="5" max="5" width="11.85546875" style="195" bestFit="1" customWidth="1"/>
    <col min="6" max="6" width="11.85546875" style="195" customWidth="1"/>
    <col min="7" max="7" width="12.140625" style="195" customWidth="1"/>
    <col min="8" max="8" width="9.5703125" style="195" customWidth="1"/>
    <col min="9" max="9" width="13.42578125" style="195" bestFit="1" customWidth="1"/>
    <col min="10" max="10" width="16" style="195" customWidth="1"/>
    <col min="11" max="11" width="9.140625" style="195" customWidth="1"/>
    <col min="12" max="12" width="13.42578125" style="195" bestFit="1" customWidth="1"/>
    <col min="13" max="13" width="14.140625" style="195" customWidth="1"/>
    <col min="14" max="14" width="17.140625" style="195" customWidth="1"/>
    <col min="15" max="15" width="1" style="191" customWidth="1"/>
    <col min="16" max="16" width="11.42578125" style="194" bestFit="1" customWidth="1"/>
    <col min="17" max="17" width="13.28515625" style="194" bestFit="1" customWidth="1"/>
    <col min="18" max="18" width="7.28515625" style="195" bestFit="1" customWidth="1"/>
    <col min="19" max="19" width="10.85546875" style="195" bestFit="1" customWidth="1"/>
    <col min="20" max="16384" width="9.140625" style="195"/>
  </cols>
  <sheetData>
    <row r="1" spans="2:21" s="191" customFormat="1" ht="5.0999999999999996" customHeight="1" thickBot="1" x14ac:dyDescent="0.3">
      <c r="P1" s="192"/>
      <c r="Q1" s="192"/>
    </row>
    <row r="2" spans="2:21" ht="15" customHeight="1" thickTop="1" x14ac:dyDescent="0.25">
      <c r="B2" s="196" t="str">
        <f>CONCATENATE("RODOVIA: ",rodovia)</f>
        <v>RODOVIA: BR-285/RS</v>
      </c>
      <c r="C2" s="197"/>
      <c r="D2" s="197"/>
      <c r="E2" s="197"/>
      <c r="F2" s="197"/>
      <c r="G2" s="197"/>
      <c r="H2" s="197"/>
      <c r="I2" s="198"/>
      <c r="J2" s="198"/>
      <c r="K2" s="199"/>
      <c r="L2" s="199"/>
      <c r="M2" s="199"/>
      <c r="N2" s="200"/>
    </row>
    <row r="3" spans="2:21" ht="15" customHeight="1" x14ac:dyDescent="0.25">
      <c r="B3" s="201" t="str">
        <f>CONCATENATE("LOCAL DA OBRA: ",local," - ",lado)</f>
        <v>LOCAL DA OBRA: km 446,200 ao km 448,600 - LD</v>
      </c>
      <c r="C3" s="202"/>
      <c r="D3" s="202"/>
      <c r="E3" s="202"/>
      <c r="F3" s="202"/>
      <c r="G3" s="202"/>
      <c r="H3" s="202"/>
      <c r="I3" s="203"/>
      <c r="J3" s="203"/>
      <c r="K3" s="203"/>
      <c r="L3" s="191"/>
      <c r="M3" s="191"/>
      <c r="N3" s="204"/>
    </row>
    <row r="4" spans="2:21" ht="15" customHeight="1" thickBot="1" x14ac:dyDescent="0.3">
      <c r="B4" s="205"/>
      <c r="C4" s="206"/>
      <c r="D4" s="206"/>
      <c r="E4" s="206"/>
      <c r="F4" s="206"/>
      <c r="G4" s="206"/>
      <c r="H4" s="206"/>
      <c r="I4" s="207"/>
      <c r="J4" s="207"/>
      <c r="K4" s="208"/>
      <c r="L4" s="208"/>
      <c r="M4" s="208"/>
      <c r="N4" s="209" t="str">
        <f>CONCATENATE("DATA-BASE DO ORÇAMENTO: ",data_sicro_txt)</f>
        <v>DATA-BASE DO ORÇAMENTO: outubro de 2022</v>
      </c>
    </row>
    <row r="5" spans="2:21" ht="15" customHeight="1" thickTop="1" thickBot="1" x14ac:dyDescent="0.3">
      <c r="B5" s="747" t="s">
        <v>34</v>
      </c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749"/>
      <c r="O5" s="193"/>
    </row>
    <row r="6" spans="2:21" ht="14.25" thickTop="1" x14ac:dyDescent="0.25">
      <c r="B6" s="750" t="s">
        <v>37</v>
      </c>
      <c r="C6" s="752" t="s">
        <v>535</v>
      </c>
      <c r="D6" s="752" t="s">
        <v>536</v>
      </c>
      <c r="E6" s="752" t="s">
        <v>537</v>
      </c>
      <c r="F6" s="752" t="s">
        <v>39</v>
      </c>
      <c r="G6" s="731" t="s">
        <v>35</v>
      </c>
      <c r="H6" s="731"/>
      <c r="I6" s="731"/>
      <c r="J6" s="731"/>
      <c r="K6" s="731" t="s">
        <v>36</v>
      </c>
      <c r="L6" s="731"/>
      <c r="M6" s="731"/>
      <c r="N6" s="732" t="s">
        <v>329</v>
      </c>
      <c r="O6" s="210"/>
      <c r="P6" s="734" t="s">
        <v>538</v>
      </c>
      <c r="Q6" s="734" t="s">
        <v>539</v>
      </c>
    </row>
    <row r="7" spans="2:21" ht="27" x14ac:dyDescent="0.25">
      <c r="B7" s="751"/>
      <c r="C7" s="753"/>
      <c r="D7" s="753"/>
      <c r="E7" s="753"/>
      <c r="F7" s="753"/>
      <c r="G7" s="211" t="s">
        <v>38</v>
      </c>
      <c r="H7" s="211" t="s">
        <v>540</v>
      </c>
      <c r="I7" s="211" t="s">
        <v>541</v>
      </c>
      <c r="J7" s="211" t="s">
        <v>542</v>
      </c>
      <c r="K7" s="211" t="s">
        <v>40</v>
      </c>
      <c r="L7" s="211" t="s">
        <v>541</v>
      </c>
      <c r="M7" s="211" t="s">
        <v>542</v>
      </c>
      <c r="N7" s="733"/>
      <c r="O7" s="212"/>
      <c r="P7" s="734"/>
      <c r="Q7" s="734"/>
      <c r="S7" s="194" t="s">
        <v>543</v>
      </c>
      <c r="T7" s="194" t="s">
        <v>35</v>
      </c>
      <c r="U7" s="194" t="s">
        <v>36</v>
      </c>
    </row>
    <row r="8" spans="2:21" ht="14.1" customHeight="1" x14ac:dyDescent="0.25">
      <c r="B8" s="213" t="s">
        <v>41</v>
      </c>
      <c r="C8" s="214" t="s">
        <v>544</v>
      </c>
      <c r="D8" s="215">
        <f>VLOOKUP(C8,$G$30:$I$41,3,FALSE)</f>
        <v>0</v>
      </c>
      <c r="E8" s="216">
        <v>0</v>
      </c>
      <c r="F8" s="216">
        <v>0.17</v>
      </c>
      <c r="G8" s="217">
        <f>P8*1000</f>
        <v>3460.6112666061613</v>
      </c>
      <c r="H8" s="216">
        <v>3.6499999999999998E-2</v>
      </c>
      <c r="I8" s="218">
        <f>ROUND((G8/(1-(F8+H8)))*(1+E8),2)</f>
        <v>4361.2</v>
      </c>
      <c r="J8" s="219">
        <f>TRUNC(I8*D8,2)</f>
        <v>0</v>
      </c>
      <c r="K8" s="220">
        <f>LIG.SD!K8</f>
        <v>387</v>
      </c>
      <c r="L8" s="221">
        <f>ROUND(((($C$51+$D$51*K8)*$M$49)/(1-F8))*(1+E8),2)</f>
        <v>299.45</v>
      </c>
      <c r="M8" s="219">
        <f>TRUNC(L8*D8,2)</f>
        <v>0</v>
      </c>
      <c r="N8" s="222">
        <f>M8+J8</f>
        <v>0</v>
      </c>
      <c r="P8" s="223">
        <v>3.4606112666061613</v>
      </c>
      <c r="Q8" s="224" t="s">
        <v>545</v>
      </c>
      <c r="S8" s="194">
        <f>K8</f>
        <v>387</v>
      </c>
      <c r="T8" s="194">
        <f>I8</f>
        <v>4361.2</v>
      </c>
      <c r="U8" s="194">
        <f>L8</f>
        <v>299.45</v>
      </c>
    </row>
    <row r="9" spans="2:21" ht="14.1" customHeight="1" x14ac:dyDescent="0.25">
      <c r="B9" s="225" t="s">
        <v>42</v>
      </c>
      <c r="C9" s="226" t="s">
        <v>544</v>
      </c>
      <c r="D9" s="227">
        <f>VLOOKUP(C9,$G$30:$I$41,3,FALSE)</f>
        <v>0</v>
      </c>
      <c r="E9" s="228">
        <f>$E$8</f>
        <v>0</v>
      </c>
      <c r="F9" s="228">
        <f>$F$8</f>
        <v>0.17</v>
      </c>
      <c r="G9" s="229">
        <f>1000*P9</f>
        <v>3791.5022171784831</v>
      </c>
      <c r="H9" s="228">
        <f>$H$8</f>
        <v>3.6499999999999998E-2</v>
      </c>
      <c r="I9" s="230">
        <f>ROUND((G9/(1-(F9+H9)))*(1+E9),2)</f>
        <v>4778.2</v>
      </c>
      <c r="J9" s="231">
        <f>TRUNC(I9*D9,2)</f>
        <v>0</v>
      </c>
      <c r="K9" s="232">
        <f>LIG.SD!K9</f>
        <v>682</v>
      </c>
      <c r="L9" s="233">
        <f>ROUND(((($C$51+$D$51*K9)*$M$49)/(1-F9))*(1+E9),2)</f>
        <v>478.45</v>
      </c>
      <c r="M9" s="231">
        <f>TRUNC(L9*D9,2)</f>
        <v>0</v>
      </c>
      <c r="N9" s="234">
        <f>M9+J9</f>
        <v>0</v>
      </c>
      <c r="P9" s="223">
        <v>3.7915022171784831</v>
      </c>
      <c r="Q9" s="224" t="s">
        <v>546</v>
      </c>
      <c r="S9" s="194">
        <f t="shared" ref="S9:S26" si="0">K9</f>
        <v>682</v>
      </c>
      <c r="T9" s="194">
        <f t="shared" ref="T9:T26" si="1">I9</f>
        <v>4778.2</v>
      </c>
      <c r="U9" s="194">
        <f t="shared" ref="U9:U26" si="2">L9</f>
        <v>478.45</v>
      </c>
    </row>
    <row r="10" spans="2:21" ht="14.1" customHeight="1" x14ac:dyDescent="0.25">
      <c r="B10" s="235" t="s">
        <v>43</v>
      </c>
      <c r="C10" s="236" t="s">
        <v>544</v>
      </c>
      <c r="D10" s="237">
        <f>VLOOKUP(C10,$G$30:$I$41,3,FALSE)</f>
        <v>0</v>
      </c>
      <c r="E10" s="238">
        <f>$E$8</f>
        <v>0</v>
      </c>
      <c r="F10" s="238">
        <f>$F$8</f>
        <v>0.17</v>
      </c>
      <c r="G10" s="239">
        <f>1000*P10</f>
        <v>3545.617203229503</v>
      </c>
      <c r="H10" s="238">
        <f>$H$8</f>
        <v>3.6499999999999998E-2</v>
      </c>
      <c r="I10" s="240">
        <f>ROUND((G10/(1-(F10+H10)))*(1+E10),2)</f>
        <v>4468.33</v>
      </c>
      <c r="J10" s="241">
        <f>TRUNC(I10*D10,2)</f>
        <v>0</v>
      </c>
      <c r="K10" s="242">
        <f>LIG.SD!K10</f>
        <v>1208</v>
      </c>
      <c r="L10" s="243">
        <f>ROUND(((($C$51+$D$51*K10)*$M$49)/(1-F10))*(1+E10),2)</f>
        <v>797.63</v>
      </c>
      <c r="M10" s="241">
        <f>TRUNC(L10*D10,2)</f>
        <v>0</v>
      </c>
      <c r="N10" s="244">
        <f>M10+J10</f>
        <v>0</v>
      </c>
      <c r="P10" s="223">
        <v>3.545617203229503</v>
      </c>
      <c r="Q10" s="224" t="s">
        <v>547</v>
      </c>
      <c r="S10" s="194">
        <f t="shared" si="0"/>
        <v>1208</v>
      </c>
      <c r="T10" s="194">
        <f t="shared" si="1"/>
        <v>4468.33</v>
      </c>
      <c r="U10" s="194">
        <f t="shared" si="2"/>
        <v>797.63</v>
      </c>
    </row>
    <row r="11" spans="2:21" ht="5.0999999999999996" customHeight="1" x14ac:dyDescent="0.25">
      <c r="B11" s="245"/>
      <c r="C11" s="246"/>
      <c r="D11" s="247"/>
      <c r="E11" s="248"/>
      <c r="F11" s="248"/>
      <c r="G11" s="249"/>
      <c r="H11" s="248"/>
      <c r="I11" s="250"/>
      <c r="J11" s="250"/>
      <c r="K11" s="191"/>
      <c r="L11" s="250"/>
      <c r="M11" s="250"/>
      <c r="N11" s="251"/>
      <c r="P11" s="223"/>
      <c r="Q11" s="224"/>
      <c r="S11" s="194"/>
      <c r="T11" s="194"/>
      <c r="U11" s="194"/>
    </row>
    <row r="12" spans="2:21" ht="14.1" customHeight="1" x14ac:dyDescent="0.25">
      <c r="B12" s="213" t="s">
        <v>407</v>
      </c>
      <c r="C12" s="214" t="s">
        <v>299</v>
      </c>
      <c r="D12" s="215">
        <f>VLOOKUP(C12,$G$30:$I$41,3,FALSE)</f>
        <v>15.696409739999998</v>
      </c>
      <c r="E12" s="252">
        <f>E8</f>
        <v>0</v>
      </c>
      <c r="F12" s="252">
        <f>F8</f>
        <v>0.17</v>
      </c>
      <c r="G12" s="217">
        <f>P12*1000</f>
        <v>4553.9306624784367</v>
      </c>
      <c r="H12" s="252">
        <f>H8</f>
        <v>3.6499999999999998E-2</v>
      </c>
      <c r="I12" s="218">
        <f>ROUND((G12/(1-(F12+H12)))*(1+E12),2)</f>
        <v>5739.04</v>
      </c>
      <c r="J12" s="219">
        <f>TRUNC(I12*D12,2)</f>
        <v>90082.32</v>
      </c>
      <c r="K12" s="220">
        <f>LIG.SD!K12</f>
        <v>163</v>
      </c>
      <c r="L12" s="221">
        <f>ROUND(((($C$51+$D$51*K12)*$M$49)/(1-F12))*(1+E12),2)</f>
        <v>163.52000000000001</v>
      </c>
      <c r="M12" s="219">
        <f>TRUNC(L12*D12,2)</f>
        <v>2566.67</v>
      </c>
      <c r="N12" s="222">
        <f>M12+J12</f>
        <v>92648.99</v>
      </c>
      <c r="P12" s="223">
        <v>4.5539306624784368</v>
      </c>
      <c r="Q12" s="224" t="s">
        <v>545</v>
      </c>
      <c r="R12" s="253"/>
      <c r="S12" s="194">
        <f t="shared" si="0"/>
        <v>163</v>
      </c>
      <c r="T12" s="194">
        <f t="shared" si="1"/>
        <v>5739.04</v>
      </c>
      <c r="U12" s="194">
        <f t="shared" si="2"/>
        <v>163.52000000000001</v>
      </c>
    </row>
    <row r="13" spans="2:21" ht="14.1" customHeight="1" x14ac:dyDescent="0.25">
      <c r="B13" s="225" t="s">
        <v>44</v>
      </c>
      <c r="C13" s="226" t="s">
        <v>299</v>
      </c>
      <c r="D13" s="227">
        <f>VLOOKUP(C13,$G$30:$I$41,3,FALSE)</f>
        <v>15.696409739999998</v>
      </c>
      <c r="E13" s="228">
        <f>$E$8</f>
        <v>0</v>
      </c>
      <c r="F13" s="228">
        <f>$F$8</f>
        <v>0.17</v>
      </c>
      <c r="G13" s="229">
        <f>1000*P13</f>
        <v>4553.9306624784367</v>
      </c>
      <c r="H13" s="228">
        <f>$H$8</f>
        <v>3.6499999999999998E-2</v>
      </c>
      <c r="I13" s="230">
        <f>ROUND((G13/(1-(F13+H13)))*(1+E13),2)</f>
        <v>5739.04</v>
      </c>
      <c r="J13" s="231">
        <f>TRUNC(I13*D13,2)</f>
        <v>90082.32</v>
      </c>
      <c r="K13" s="232">
        <f>LIG.SD!K13</f>
        <v>386</v>
      </c>
      <c r="L13" s="233">
        <f>ROUND(((($C$51+$D$51*K13)*$M$49)/(1-F13))*(1+E13),2)</f>
        <v>298.83999999999997</v>
      </c>
      <c r="M13" s="231">
        <f>TRUNC(L13*D13,2)</f>
        <v>4690.71</v>
      </c>
      <c r="N13" s="234">
        <f>M13+J13</f>
        <v>94773.030000000013</v>
      </c>
      <c r="P13" s="223">
        <v>4.5539306624784368</v>
      </c>
      <c r="Q13" s="224" t="s">
        <v>545</v>
      </c>
      <c r="S13" s="194">
        <f t="shared" si="0"/>
        <v>386</v>
      </c>
      <c r="T13" s="194">
        <f t="shared" si="1"/>
        <v>5739.04</v>
      </c>
      <c r="U13" s="194">
        <f t="shared" si="2"/>
        <v>298.83999999999997</v>
      </c>
    </row>
    <row r="14" spans="2:21" ht="14.1" customHeight="1" x14ac:dyDescent="0.25">
      <c r="B14" s="235" t="s">
        <v>45</v>
      </c>
      <c r="C14" s="236" t="s">
        <v>299</v>
      </c>
      <c r="D14" s="237">
        <f>VLOOKUP(C14,$G$30:$I$41,3,FALSE)</f>
        <v>15.696409739999998</v>
      </c>
      <c r="E14" s="238">
        <f>$E$8</f>
        <v>0</v>
      </c>
      <c r="F14" s="238">
        <f>$F$8</f>
        <v>0.17</v>
      </c>
      <c r="G14" s="239">
        <f>1000*P14</f>
        <v>4553.9306624784367</v>
      </c>
      <c r="H14" s="238">
        <f>$H$8</f>
        <v>3.6499999999999998E-2</v>
      </c>
      <c r="I14" s="240">
        <f>ROUND((G14/(1-(F14+H14)))*(1+E14),2)</f>
        <v>5739.04</v>
      </c>
      <c r="J14" s="241">
        <f>TRUNC(I14*D14,2)</f>
        <v>90082.32</v>
      </c>
      <c r="K14" s="242">
        <f>LIG.SD!K14</f>
        <v>348</v>
      </c>
      <c r="L14" s="243">
        <f>ROUND(((($C$51+$D$51*K14)*$M$49)/(1-F14))*(1+E14),2)</f>
        <v>275.77999999999997</v>
      </c>
      <c r="M14" s="241">
        <f>TRUNC(L14*D14,2)</f>
        <v>4328.75</v>
      </c>
      <c r="N14" s="244">
        <f>M14+J14</f>
        <v>94411.07</v>
      </c>
      <c r="P14" s="223">
        <v>4.5539306624784368</v>
      </c>
      <c r="Q14" s="224" t="s">
        <v>545</v>
      </c>
      <c r="S14" s="194">
        <f t="shared" si="0"/>
        <v>348</v>
      </c>
      <c r="T14" s="194">
        <f t="shared" si="1"/>
        <v>5739.04</v>
      </c>
      <c r="U14" s="194">
        <f t="shared" si="2"/>
        <v>275.77999999999997</v>
      </c>
    </row>
    <row r="15" spans="2:21" ht="5.0999999999999996" customHeight="1" x14ac:dyDescent="0.25">
      <c r="B15" s="245"/>
      <c r="C15" s="246"/>
      <c r="D15" s="247"/>
      <c r="E15" s="248"/>
      <c r="F15" s="248"/>
      <c r="G15" s="249"/>
      <c r="H15" s="248"/>
      <c r="I15" s="250"/>
      <c r="J15" s="250"/>
      <c r="K15" s="191"/>
      <c r="L15" s="250"/>
      <c r="M15" s="250"/>
      <c r="N15" s="251"/>
      <c r="P15" s="223"/>
      <c r="Q15" s="224"/>
      <c r="S15" s="194"/>
      <c r="T15" s="194"/>
      <c r="U15" s="194"/>
    </row>
    <row r="16" spans="2:21" ht="14.1" customHeight="1" x14ac:dyDescent="0.25">
      <c r="B16" s="255" t="s">
        <v>407</v>
      </c>
      <c r="C16" s="256" t="s">
        <v>569</v>
      </c>
      <c r="D16" s="215">
        <f>VLOOKUP(C16,$G$30:$I$41,3,FALSE)</f>
        <v>4.0403079600000007</v>
      </c>
      <c r="E16" s="252">
        <f>$E$8</f>
        <v>0</v>
      </c>
      <c r="F16" s="252">
        <f>$F$8</f>
        <v>0.17</v>
      </c>
      <c r="G16" s="217">
        <f>P16*1000</f>
        <v>4508.9927058616749</v>
      </c>
      <c r="H16" s="252">
        <f t="shared" ref="H16:H18" si="3">$H$8</f>
        <v>3.6499999999999998E-2</v>
      </c>
      <c r="I16" s="218">
        <f>ROUND((G16/(1-(F16+H16)))*(1+E16),2)</f>
        <v>5682.41</v>
      </c>
      <c r="J16" s="219">
        <f>TRUNC(I16*D16,2)</f>
        <v>22958.68</v>
      </c>
      <c r="K16" s="220">
        <f>LIG.SD!K16</f>
        <v>387</v>
      </c>
      <c r="L16" s="221">
        <f>ROUND(((($C$51+$D$51*K16)*$M$49)/(1-F16))*(1+E16),2)</f>
        <v>299.45</v>
      </c>
      <c r="M16" s="219">
        <f>TRUNC(L16*D16,2)</f>
        <v>1209.8699999999999</v>
      </c>
      <c r="N16" s="222">
        <f>M16+J16</f>
        <v>24168.55</v>
      </c>
      <c r="P16" s="223">
        <v>4.508992705861675</v>
      </c>
      <c r="Q16" s="224" t="s">
        <v>545</v>
      </c>
      <c r="S16" s="194">
        <f t="shared" si="0"/>
        <v>387</v>
      </c>
      <c r="T16" s="194">
        <f t="shared" si="1"/>
        <v>5682.41</v>
      </c>
      <c r="U16" s="194">
        <f t="shared" si="2"/>
        <v>299.45</v>
      </c>
    </row>
    <row r="17" spans="2:21" ht="14.1" customHeight="1" x14ac:dyDescent="0.25">
      <c r="B17" s="257" t="s">
        <v>44</v>
      </c>
      <c r="C17" s="258" t="s">
        <v>569</v>
      </c>
      <c r="D17" s="227">
        <f>VLOOKUP(C17,$G$30:$I$41,3,FALSE)</f>
        <v>4.0403079600000007</v>
      </c>
      <c r="E17" s="259">
        <f>$E$8</f>
        <v>0</v>
      </c>
      <c r="F17" s="259">
        <f>$F$8</f>
        <v>0.17</v>
      </c>
      <c r="G17" s="229">
        <f>1000*P17</f>
        <v>4663.57400195217</v>
      </c>
      <c r="H17" s="259">
        <f t="shared" si="3"/>
        <v>3.6499999999999998E-2</v>
      </c>
      <c r="I17" s="260">
        <f>ROUND((G17/(1-(F17+H17)))*(1+E17),2)</f>
        <v>5877.22</v>
      </c>
      <c r="J17" s="261">
        <f>TRUNC(I17*D17,2)</f>
        <v>23745.77</v>
      </c>
      <c r="K17" s="232">
        <f>LIG.SD!K17</f>
        <v>682</v>
      </c>
      <c r="L17" s="233">
        <f>ROUND(((($C$51+$D$51*K17)*$M$49)/(1-F17))*(1+E17),2)</f>
        <v>478.45</v>
      </c>
      <c r="M17" s="261">
        <f>TRUNC(L17*D17,2)</f>
        <v>1933.08</v>
      </c>
      <c r="N17" s="262">
        <f>M17+J17</f>
        <v>25678.85</v>
      </c>
      <c r="P17" s="223">
        <v>4.6635740019521696</v>
      </c>
      <c r="Q17" s="224" t="s">
        <v>546</v>
      </c>
      <c r="S17" s="194">
        <f t="shared" si="0"/>
        <v>682</v>
      </c>
      <c r="T17" s="194">
        <f t="shared" si="1"/>
        <v>5877.22</v>
      </c>
      <c r="U17" s="194">
        <f t="shared" si="2"/>
        <v>478.45</v>
      </c>
    </row>
    <row r="18" spans="2:21" ht="14.1" customHeight="1" x14ac:dyDescent="0.25">
      <c r="B18" s="235" t="s">
        <v>45</v>
      </c>
      <c r="C18" s="236" t="s">
        <v>569</v>
      </c>
      <c r="D18" s="237">
        <f>VLOOKUP(C18,$G$30:$I$41,3,FALSE)</f>
        <v>4.0403079600000007</v>
      </c>
      <c r="E18" s="238">
        <f>$E$8</f>
        <v>0</v>
      </c>
      <c r="F18" s="238">
        <f>$F$8</f>
        <v>0.17</v>
      </c>
      <c r="G18" s="239">
        <f>1000*P18</f>
        <v>4851.1600071415805</v>
      </c>
      <c r="H18" s="238">
        <f t="shared" si="3"/>
        <v>3.6499999999999998E-2</v>
      </c>
      <c r="I18" s="240">
        <f>ROUND((G18/(1-(F18+H18)))*(1+E18),2)</f>
        <v>6113.62</v>
      </c>
      <c r="J18" s="241">
        <f>TRUNC(I18*D18,2)</f>
        <v>24700.9</v>
      </c>
      <c r="K18" s="242">
        <f>LIG.SD!K18</f>
        <v>1208</v>
      </c>
      <c r="L18" s="243">
        <f>ROUND(((($C$51+$D$51*K18)*$M$49)/(1-F18))*(1+E18),2)</f>
        <v>797.63</v>
      </c>
      <c r="M18" s="241">
        <f>TRUNC(L18*D18,2)</f>
        <v>3222.67</v>
      </c>
      <c r="N18" s="244">
        <f>M18+J18</f>
        <v>27923.57</v>
      </c>
      <c r="P18" s="223">
        <v>4.8511600071415808</v>
      </c>
      <c r="Q18" s="224" t="s">
        <v>570</v>
      </c>
      <c r="S18" s="194">
        <f t="shared" si="0"/>
        <v>1208</v>
      </c>
      <c r="T18" s="194">
        <f t="shared" si="1"/>
        <v>6113.62</v>
      </c>
      <c r="U18" s="194">
        <f t="shared" si="2"/>
        <v>797.63</v>
      </c>
    </row>
    <row r="19" spans="2:21" ht="5.0999999999999996" customHeight="1" x14ac:dyDescent="0.25">
      <c r="B19" s="245"/>
      <c r="C19" s="246"/>
      <c r="D19" s="247"/>
      <c r="E19" s="248"/>
      <c r="F19" s="248"/>
      <c r="G19" s="249"/>
      <c r="H19" s="248"/>
      <c r="I19" s="250"/>
      <c r="J19" s="250"/>
      <c r="K19" s="191"/>
      <c r="L19" s="250"/>
      <c r="M19" s="250"/>
      <c r="N19" s="251"/>
      <c r="P19" s="223"/>
      <c r="Q19" s="224"/>
      <c r="S19" s="194"/>
      <c r="T19" s="194"/>
      <c r="U19" s="194"/>
    </row>
    <row r="20" spans="2:21" ht="14.1" customHeight="1" x14ac:dyDescent="0.25">
      <c r="B20" s="255" t="s">
        <v>407</v>
      </c>
      <c r="C20" s="256" t="s">
        <v>549</v>
      </c>
      <c r="D20" s="215">
        <f>VLOOKUP(C20,$G$30:$I$41,3,FALSE)</f>
        <v>0</v>
      </c>
      <c r="E20" s="252">
        <f>$E$8</f>
        <v>0</v>
      </c>
      <c r="F20" s="252">
        <f>$F$8</f>
        <v>0.17</v>
      </c>
      <c r="G20" s="217">
        <f>P20*1000</f>
        <v>3775.9549613404497</v>
      </c>
      <c r="H20" s="252">
        <f t="shared" ref="H20:H22" si="4">$H$8</f>
        <v>3.6499999999999998E-2</v>
      </c>
      <c r="I20" s="218">
        <f>ROUND((G20/(1-(F20+H20)))*(1+E20),2)</f>
        <v>4758.6099999999997</v>
      </c>
      <c r="J20" s="219">
        <f>TRUNC(I20*D20,2)</f>
        <v>0</v>
      </c>
      <c r="K20" s="220">
        <f>LIG.SD!K20</f>
        <v>163</v>
      </c>
      <c r="L20" s="221">
        <f>ROUND(((($C$51+$D$51*K20)*$M$49)/(1-F20))*(1+E20),2)</f>
        <v>163.52000000000001</v>
      </c>
      <c r="M20" s="219">
        <f>TRUNC(L20*D20,2)</f>
        <v>0</v>
      </c>
      <c r="N20" s="222">
        <f>M20+J20</f>
        <v>0</v>
      </c>
      <c r="P20" s="223">
        <v>3.7759549613404495</v>
      </c>
      <c r="Q20" s="224" t="s">
        <v>548</v>
      </c>
      <c r="S20" s="194">
        <f t="shared" si="0"/>
        <v>163</v>
      </c>
      <c r="T20" s="194">
        <f t="shared" si="1"/>
        <v>4758.6099999999997</v>
      </c>
      <c r="U20" s="194">
        <f t="shared" si="2"/>
        <v>163.52000000000001</v>
      </c>
    </row>
    <row r="21" spans="2:21" ht="14.1" customHeight="1" x14ac:dyDescent="0.25">
      <c r="B21" s="257" t="s">
        <v>44</v>
      </c>
      <c r="C21" s="258" t="s">
        <v>549</v>
      </c>
      <c r="D21" s="227">
        <f>VLOOKUP(C21,$G$30:$I$41,3,FALSE)</f>
        <v>0</v>
      </c>
      <c r="E21" s="259">
        <f>$E$8</f>
        <v>0</v>
      </c>
      <c r="F21" s="259">
        <f>$F$8</f>
        <v>0.17</v>
      </c>
      <c r="G21" s="229">
        <f>1000*P21</f>
        <v>3775.9549613404497</v>
      </c>
      <c r="H21" s="259">
        <f t="shared" si="4"/>
        <v>3.6499999999999998E-2</v>
      </c>
      <c r="I21" s="260">
        <f>ROUND((G21/(1-(F21+H21)))*(1+E21),2)</f>
        <v>4758.6099999999997</v>
      </c>
      <c r="J21" s="261">
        <f>TRUNC(I21*D21,2)</f>
        <v>0</v>
      </c>
      <c r="K21" s="232">
        <f>LIG.SD!K21</f>
        <v>386</v>
      </c>
      <c r="L21" s="233">
        <f>ROUND(((($C$51+$D$51*K21)*$M$49)/(1-F21))*(1+E21),2)</f>
        <v>298.83999999999997</v>
      </c>
      <c r="M21" s="261">
        <f>TRUNC(L21*D21,2)</f>
        <v>0</v>
      </c>
      <c r="N21" s="262">
        <f>M21+J21</f>
        <v>0</v>
      </c>
      <c r="P21" s="223">
        <v>3.7759549613404495</v>
      </c>
      <c r="Q21" s="224" t="s">
        <v>548</v>
      </c>
      <c r="S21" s="194">
        <f t="shared" si="0"/>
        <v>386</v>
      </c>
      <c r="T21" s="194">
        <f t="shared" si="1"/>
        <v>4758.6099999999997</v>
      </c>
      <c r="U21" s="194">
        <f t="shared" si="2"/>
        <v>298.83999999999997</v>
      </c>
    </row>
    <row r="22" spans="2:21" ht="14.1" customHeight="1" x14ac:dyDescent="0.25">
      <c r="B22" s="235" t="s">
        <v>45</v>
      </c>
      <c r="C22" s="236" t="s">
        <v>549</v>
      </c>
      <c r="D22" s="237">
        <f>VLOOKUP(C22,$G$30:$I$41,3,FALSE)</f>
        <v>0</v>
      </c>
      <c r="E22" s="238">
        <f>$E$8</f>
        <v>0</v>
      </c>
      <c r="F22" s="238">
        <f>$F$8</f>
        <v>0.17</v>
      </c>
      <c r="G22" s="239">
        <f>1000*P22</f>
        <v>3775.9549613404497</v>
      </c>
      <c r="H22" s="238">
        <f t="shared" si="4"/>
        <v>3.6499999999999998E-2</v>
      </c>
      <c r="I22" s="240">
        <f>ROUND((G22/(1-(F22+H22)))*(1+E22),2)</f>
        <v>4758.6099999999997</v>
      </c>
      <c r="J22" s="241">
        <f>TRUNC(I22*D22,2)</f>
        <v>0</v>
      </c>
      <c r="K22" s="242">
        <f>LIG.SD!K22</f>
        <v>348</v>
      </c>
      <c r="L22" s="243">
        <f>ROUND(((($C$51+$D$51*K22)*$M$49)/(1-F22))*(1+E22),2)</f>
        <v>275.77999999999997</v>
      </c>
      <c r="M22" s="241">
        <f>TRUNC(L22*D22,2)</f>
        <v>0</v>
      </c>
      <c r="N22" s="244">
        <f>M22+J22</f>
        <v>0</v>
      </c>
      <c r="P22" s="223">
        <v>3.7759549613404495</v>
      </c>
      <c r="Q22" s="224" t="s">
        <v>548</v>
      </c>
      <c r="S22" s="194">
        <f t="shared" si="0"/>
        <v>348</v>
      </c>
      <c r="T22" s="194">
        <f t="shared" si="1"/>
        <v>4758.6099999999997</v>
      </c>
      <c r="U22" s="194">
        <f t="shared" si="2"/>
        <v>275.77999999999997</v>
      </c>
    </row>
    <row r="23" spans="2:21" ht="5.0999999999999996" customHeight="1" x14ac:dyDescent="0.25">
      <c r="B23" s="245"/>
      <c r="C23" s="246"/>
      <c r="D23" s="247"/>
      <c r="E23" s="248"/>
      <c r="F23" s="248"/>
      <c r="G23" s="249"/>
      <c r="H23" s="248"/>
      <c r="I23" s="250"/>
      <c r="J23" s="250"/>
      <c r="K23" s="191"/>
      <c r="L23" s="250"/>
      <c r="M23" s="250"/>
      <c r="N23" s="251"/>
      <c r="P23" s="223"/>
      <c r="Q23" s="224"/>
      <c r="S23" s="194"/>
      <c r="T23" s="194"/>
      <c r="U23" s="194"/>
    </row>
    <row r="24" spans="2:21" ht="14.1" customHeight="1" x14ac:dyDescent="0.25">
      <c r="B24" s="255" t="s">
        <v>407</v>
      </c>
      <c r="C24" s="256" t="s">
        <v>46</v>
      </c>
      <c r="D24" s="215">
        <f>VLOOKUP(C24,$G$30:$I$41,3,FALSE)</f>
        <v>1.2590703000000001</v>
      </c>
      <c r="E24" s="252">
        <f>$E$8</f>
        <v>0</v>
      </c>
      <c r="F24" s="252">
        <f>$F$8</f>
        <v>0.17</v>
      </c>
      <c r="G24" s="217">
        <f>P24*1000</f>
        <v>2612.5808358405579</v>
      </c>
      <c r="H24" s="252">
        <f t="shared" ref="H24:H26" si="5">$H$8</f>
        <v>3.6499999999999998E-2</v>
      </c>
      <c r="I24" s="218">
        <f>ROUND((G24/(1-(F24+H24)))*(1+E24),2)</f>
        <v>3292.48</v>
      </c>
      <c r="J24" s="219">
        <f>TRUNC(I24*D24,2)</f>
        <v>4145.46</v>
      </c>
      <c r="K24" s="220">
        <f>LIG.SD!K24</f>
        <v>163</v>
      </c>
      <c r="L24" s="221">
        <f>ROUND(((($C$51+$D$51*K24)*$M$49)/(1-F24))*(1+E24),2)</f>
        <v>163.52000000000001</v>
      </c>
      <c r="M24" s="219">
        <f>TRUNC(L24*D24,2)</f>
        <v>205.88</v>
      </c>
      <c r="N24" s="222">
        <f>M24+J24</f>
        <v>4351.34</v>
      </c>
      <c r="P24" s="223">
        <v>2.612580835840558</v>
      </c>
      <c r="Q24" s="224" t="s">
        <v>545</v>
      </c>
      <c r="S24" s="194">
        <f t="shared" si="0"/>
        <v>163</v>
      </c>
      <c r="T24" s="194">
        <f t="shared" si="1"/>
        <v>3292.48</v>
      </c>
      <c r="U24" s="194">
        <f t="shared" si="2"/>
        <v>163.52000000000001</v>
      </c>
    </row>
    <row r="25" spans="2:21" ht="14.1" customHeight="1" x14ac:dyDescent="0.25">
      <c r="B25" s="257" t="s">
        <v>44</v>
      </c>
      <c r="C25" s="258" t="s">
        <v>46</v>
      </c>
      <c r="D25" s="227">
        <f>VLOOKUP(C25,$G$30:$I$41,3,FALSE)</f>
        <v>1.2590703000000001</v>
      </c>
      <c r="E25" s="259">
        <f>$E$8</f>
        <v>0</v>
      </c>
      <c r="F25" s="259">
        <f>$F$8</f>
        <v>0.17</v>
      </c>
      <c r="G25" s="229">
        <f>1000*P25</f>
        <v>2612.5808358405579</v>
      </c>
      <c r="H25" s="259">
        <f t="shared" si="5"/>
        <v>3.6499999999999998E-2</v>
      </c>
      <c r="I25" s="260">
        <f>ROUND((G25/(1-(F25+H25)))*(1+E25),2)</f>
        <v>3292.48</v>
      </c>
      <c r="J25" s="261">
        <f>TRUNC(I25*D25,2)</f>
        <v>4145.46</v>
      </c>
      <c r="K25" s="232">
        <f>LIG.SD!K25</f>
        <v>386</v>
      </c>
      <c r="L25" s="233">
        <f>ROUND(((($C$51+$D$51*K25)*$M$49)/(1-F25))*(1+E25),2)</f>
        <v>298.83999999999997</v>
      </c>
      <c r="M25" s="261">
        <f>TRUNC(L25*D25,2)</f>
        <v>376.26</v>
      </c>
      <c r="N25" s="262">
        <f>M25+J25</f>
        <v>4521.72</v>
      </c>
      <c r="P25" s="223">
        <v>2.612580835840558</v>
      </c>
      <c r="Q25" s="224" t="s">
        <v>545</v>
      </c>
      <c r="S25" s="194">
        <f t="shared" si="0"/>
        <v>386</v>
      </c>
      <c r="T25" s="194">
        <f t="shared" si="1"/>
        <v>3292.48</v>
      </c>
      <c r="U25" s="194">
        <f t="shared" si="2"/>
        <v>298.83999999999997</v>
      </c>
    </row>
    <row r="26" spans="2:21" ht="14.1" customHeight="1" thickBot="1" x14ac:dyDescent="0.3">
      <c r="B26" s="263" t="s">
        <v>45</v>
      </c>
      <c r="C26" s="264" t="s">
        <v>46</v>
      </c>
      <c r="D26" s="265">
        <f>VLOOKUP(C26,$G$30:$I$41,3,FALSE)</f>
        <v>1.2590703000000001</v>
      </c>
      <c r="E26" s="266">
        <f>$E$8</f>
        <v>0</v>
      </c>
      <c r="F26" s="266">
        <f>$F$8</f>
        <v>0.17</v>
      </c>
      <c r="G26" s="267">
        <f>1000*P26</f>
        <v>2612.5808358405579</v>
      </c>
      <c r="H26" s="266">
        <f t="shared" si="5"/>
        <v>3.6499999999999998E-2</v>
      </c>
      <c r="I26" s="268">
        <f>ROUND((G26/(1-(F26+H26)))*(1+E26),2)</f>
        <v>3292.48</v>
      </c>
      <c r="J26" s="269">
        <f>TRUNC(I26*D26,2)</f>
        <v>4145.46</v>
      </c>
      <c r="K26" s="242">
        <f>LIG.SD!K26</f>
        <v>348</v>
      </c>
      <c r="L26" s="271">
        <f>ROUND(((($C$51+$D$51*K26)*$M$49)/(1-F26))*(1+E26),2)</f>
        <v>275.77999999999997</v>
      </c>
      <c r="M26" s="269">
        <f>TRUNC(L26*D26,2)</f>
        <v>347.22</v>
      </c>
      <c r="N26" s="272">
        <f>M26+J26</f>
        <v>4492.68</v>
      </c>
      <c r="P26" s="223">
        <v>2.612580835840558</v>
      </c>
      <c r="Q26" s="224" t="s">
        <v>545</v>
      </c>
      <c r="S26" s="194">
        <f t="shared" si="0"/>
        <v>348</v>
      </c>
      <c r="T26" s="194">
        <f t="shared" si="1"/>
        <v>3292.48</v>
      </c>
      <c r="U26" s="194">
        <f t="shared" si="2"/>
        <v>275.77999999999997</v>
      </c>
    </row>
    <row r="27" spans="2:21" s="191" customFormat="1" ht="5.0999999999999996" customHeight="1" thickTop="1" thickBot="1" x14ac:dyDescent="0.3">
      <c r="P27" s="192"/>
      <c r="Q27" s="192"/>
    </row>
    <row r="28" spans="2:21" ht="14.1" customHeight="1" thickTop="1" x14ac:dyDescent="0.25">
      <c r="B28" s="741" t="s">
        <v>74</v>
      </c>
      <c r="C28" s="743" t="s">
        <v>215</v>
      </c>
      <c r="D28" s="743"/>
      <c r="E28" s="743"/>
      <c r="F28" s="743"/>
      <c r="G28" s="743" t="s">
        <v>47</v>
      </c>
      <c r="H28" s="743" t="s">
        <v>12</v>
      </c>
      <c r="I28" s="745" t="s">
        <v>0</v>
      </c>
      <c r="J28" s="735" t="s">
        <v>550</v>
      </c>
      <c r="K28" s="735" t="s">
        <v>551</v>
      </c>
      <c r="L28" s="735" t="s">
        <v>552</v>
      </c>
      <c r="M28" s="737" t="s">
        <v>553</v>
      </c>
      <c r="N28" s="738"/>
    </row>
    <row r="29" spans="2:21" ht="14.1" customHeight="1" x14ac:dyDescent="0.25">
      <c r="B29" s="742"/>
      <c r="C29" s="744"/>
      <c r="D29" s="744"/>
      <c r="E29" s="744"/>
      <c r="F29" s="744"/>
      <c r="G29" s="744"/>
      <c r="H29" s="744"/>
      <c r="I29" s="746"/>
      <c r="J29" s="736"/>
      <c r="K29" s="736"/>
      <c r="L29" s="736"/>
      <c r="M29" s="739"/>
      <c r="N29" s="740"/>
    </row>
    <row r="30" spans="2:21" ht="14.1" customHeight="1" x14ac:dyDescent="0.25">
      <c r="B30" s="273" t="s">
        <v>509</v>
      </c>
      <c r="C30" s="728" t="s">
        <v>510</v>
      </c>
      <c r="D30" s="728"/>
      <c r="E30" s="728"/>
      <c r="F30" s="728"/>
      <c r="G30" s="274" t="s">
        <v>544</v>
      </c>
      <c r="H30" s="274" t="s">
        <v>23</v>
      </c>
      <c r="I30" s="275">
        <f>SUMIF('Orça-SD'!$B$5:$B$61,B30,'Orça-SD'!$E$5:$E$61)</f>
        <v>0</v>
      </c>
      <c r="J30" s="276">
        <f>IF(G30=$C$8,MIN($N$8:$N$10),IF(G30=$C$12,MIN($N$12:$N$14),IF(G30=$C$16,MIN($N$16:$N$18),IF(G30=$C$20,MIN($N$20:$N$22),IF(G30=$C$24,MIN($N$24:$N$26),"?")))))</f>
        <v>0</v>
      </c>
      <c r="K30" s="277">
        <f>VLOOKUP(J30,$N$8:$U$26,6,FALSE)</f>
        <v>387</v>
      </c>
      <c r="L30" s="276">
        <f>VLOOKUP(J30,$N$8:$U$26,7,FALSE)</f>
        <v>4361.2</v>
      </c>
      <c r="M30" s="729" t="str">
        <f>VLOOKUP(J30,$N$8:$U$26,4,FALSE)</f>
        <v>Estado do RS</v>
      </c>
      <c r="N30" s="730"/>
    </row>
    <row r="31" spans="2:21" ht="14.1" customHeight="1" x14ac:dyDescent="0.25">
      <c r="B31" s="273" t="s">
        <v>505</v>
      </c>
      <c r="C31" s="728" t="s">
        <v>506</v>
      </c>
      <c r="D31" s="728"/>
      <c r="E31" s="728"/>
      <c r="F31" s="728"/>
      <c r="G31" s="274" t="s">
        <v>299</v>
      </c>
      <c r="H31" s="274" t="s">
        <v>23</v>
      </c>
      <c r="I31" s="275">
        <f>SUMIF('Orça-SD'!$B$5:$B$61,B31,'Orça-SD'!$E$5:$E$61)</f>
        <v>15.696409739999998</v>
      </c>
      <c r="J31" s="276">
        <f>IF(G31=$C$8,MIN($N$8:$N$10),IF(G31=$C$12,MIN($N$12:$N$14),IF(G31=$C$16,MIN($N$16:$N$18),IF(G31=$C$20,MIN($N$20:$N$22),IF(G31=$C$24,MIN($N$24:$N$26),"?")))))</f>
        <v>92648.99</v>
      </c>
      <c r="K31" s="277">
        <f t="shared" ref="K31:K34" si="6">VLOOKUP(J31,$N$8:$U$26,6,FALSE)</f>
        <v>163</v>
      </c>
      <c r="L31" s="276">
        <f t="shared" ref="L31:L34" si="7">VLOOKUP(J31,$N$8:$U$26,7,FALSE)</f>
        <v>5739.04</v>
      </c>
      <c r="M31" s="729" t="str">
        <f t="shared" ref="M31:M34" si="8">VLOOKUP(J31,$N$8:$U$26,4,FALSE)</f>
        <v>Estado do RS</v>
      </c>
      <c r="N31" s="730"/>
    </row>
    <row r="32" spans="2:21" ht="14.1" customHeight="1" x14ac:dyDescent="0.25">
      <c r="B32" s="273" t="s">
        <v>566</v>
      </c>
      <c r="C32" s="728" t="s">
        <v>567</v>
      </c>
      <c r="D32" s="728"/>
      <c r="E32" s="728"/>
      <c r="F32" s="728"/>
      <c r="G32" s="274" t="s">
        <v>569</v>
      </c>
      <c r="H32" s="274" t="s">
        <v>23</v>
      </c>
      <c r="I32" s="275">
        <f>SUMIF('Orça-SD'!$B$5:$B$61,B32,'Orça-SD'!$E$5:$E$61)</f>
        <v>4.0403079600000007</v>
      </c>
      <c r="J32" s="276">
        <f>IF(G32=$C$8,MIN($N$8:$N$10),IF(G32=$C$12,MIN($N$12:$N$14),IF(G32=$C$16,MIN($N$16:$N$18),IF(G32=$C$20,MIN($N$20:$N$22),IF(G32=$C$24,MIN($N$24:$N$26),"?")))))</f>
        <v>24168.55</v>
      </c>
      <c r="K32" s="277">
        <f t="shared" si="6"/>
        <v>387</v>
      </c>
      <c r="L32" s="276">
        <f t="shared" si="7"/>
        <v>5682.41</v>
      </c>
      <c r="M32" s="729" t="str">
        <f t="shared" si="8"/>
        <v>Estado do RS</v>
      </c>
      <c r="N32" s="730"/>
    </row>
    <row r="33" spans="1:21" ht="14.1" customHeight="1" x14ac:dyDescent="0.25">
      <c r="B33" s="273" t="s">
        <v>501</v>
      </c>
      <c r="C33" s="728" t="s">
        <v>502</v>
      </c>
      <c r="D33" s="728"/>
      <c r="E33" s="728"/>
      <c r="F33" s="728"/>
      <c r="G33" s="274" t="s">
        <v>549</v>
      </c>
      <c r="H33" s="274" t="s">
        <v>23</v>
      </c>
      <c r="I33" s="275">
        <f>SUMIF('Orça-SD'!$B$5:$B$61,B33,'Orça-SD'!$E$5:$E$61)</f>
        <v>0</v>
      </c>
      <c r="J33" s="276">
        <f>IF(G33=$C$8,MIN($N$8:$N$10),IF(G33=$C$12,MIN($N$12:$N$14),IF(G33=$C$16,MIN($N$16:$N$18),IF(G33=$C$20,MIN($N$20:$N$22),IF(G33=$C$24,MIN($N$24:$N$26),"?")))))</f>
        <v>0</v>
      </c>
      <c r="K33" s="277">
        <f t="shared" si="6"/>
        <v>387</v>
      </c>
      <c r="L33" s="276">
        <f t="shared" si="7"/>
        <v>4361.2</v>
      </c>
      <c r="M33" s="729" t="str">
        <f t="shared" si="8"/>
        <v>Estado do RS</v>
      </c>
      <c r="N33" s="730"/>
    </row>
    <row r="34" spans="1:21" ht="14.1" customHeight="1" x14ac:dyDescent="0.25">
      <c r="B34" s="273" t="s">
        <v>477</v>
      </c>
      <c r="C34" s="728" t="s">
        <v>499</v>
      </c>
      <c r="D34" s="728"/>
      <c r="E34" s="728"/>
      <c r="F34" s="728"/>
      <c r="G34" s="274" t="s">
        <v>46</v>
      </c>
      <c r="H34" s="274" t="s">
        <v>23</v>
      </c>
      <c r="I34" s="275">
        <f>SUMIF('Orça-SD'!$B$5:$B$61,B34,'Orça-SD'!$E$5:$E$61)</f>
        <v>1.2590703000000001</v>
      </c>
      <c r="J34" s="276">
        <f>IF(G34=$C$8,MIN($N$8:$N$10),IF(G34=$C$12,MIN($N$12:$N$14),IF(G34=$C$16,MIN($N$16:$N$18),IF(G34=$C$20,MIN($N$20:$N$22),IF(G34=$C$24,MIN($N$24:$N$26),"?")))))</f>
        <v>4351.34</v>
      </c>
      <c r="K34" s="277">
        <f t="shared" si="6"/>
        <v>163</v>
      </c>
      <c r="L34" s="276">
        <f t="shared" si="7"/>
        <v>3292.48</v>
      </c>
      <c r="M34" s="729" t="str">
        <f t="shared" si="8"/>
        <v>Estado do RS</v>
      </c>
      <c r="N34" s="730"/>
    </row>
    <row r="35" spans="1:21" ht="14.1" customHeight="1" x14ac:dyDescent="0.25">
      <c r="B35" s="273"/>
      <c r="C35" s="728"/>
      <c r="D35" s="728"/>
      <c r="E35" s="728"/>
      <c r="F35" s="728"/>
      <c r="G35" s="274"/>
      <c r="H35" s="274"/>
      <c r="I35" s="275"/>
      <c r="J35" s="276"/>
      <c r="K35" s="277"/>
      <c r="L35" s="276"/>
      <c r="M35" s="729"/>
      <c r="N35" s="730"/>
    </row>
    <row r="36" spans="1:21" s="191" customFormat="1" ht="5.0999999999999996" customHeight="1" x14ac:dyDescent="0.25">
      <c r="B36" s="278"/>
      <c r="C36" s="279"/>
      <c r="D36" s="279"/>
      <c r="E36" s="279"/>
      <c r="F36" s="279"/>
      <c r="G36" s="279"/>
      <c r="H36" s="279"/>
      <c r="I36" s="280"/>
      <c r="J36" s="279"/>
      <c r="K36" s="279"/>
      <c r="L36" s="279"/>
      <c r="M36" s="279"/>
      <c r="N36" s="281"/>
      <c r="P36" s="192"/>
      <c r="Q36" s="192"/>
    </row>
    <row r="37" spans="1:21" ht="14.1" customHeight="1" x14ac:dyDescent="0.25">
      <c r="B37" s="273" t="s">
        <v>511</v>
      </c>
      <c r="C37" s="728" t="s">
        <v>512</v>
      </c>
      <c r="D37" s="728"/>
      <c r="E37" s="728"/>
      <c r="F37" s="728"/>
      <c r="G37" s="274" t="s">
        <v>544</v>
      </c>
      <c r="H37" s="274" t="s">
        <v>23</v>
      </c>
      <c r="I37" s="275">
        <f>SUMIF('Orça-SD'!$B$5:$B$61,B37,'Orça-SD'!$E$5:$E$61)</f>
        <v>0</v>
      </c>
      <c r="J37" s="276">
        <f>IF(G37=$C$8,MIN($N$8:$N$10),IF(G37=$C$12,MIN($N$12:$N$14),IF(G37=$C$16,MIN($N$16:$N$18),IF(G37=$C$20,MIN($N$20:$N$22),IF(G37=$C$24,MIN($N$24:$N$26),"?")))))</f>
        <v>0</v>
      </c>
      <c r="K37" s="277">
        <f>VLOOKUP(J37,$N$8:$U$26,6,FALSE)</f>
        <v>387</v>
      </c>
      <c r="L37" s="276">
        <f>VLOOKUP(J37,$N$8:$U$26,8,FALSE)</f>
        <v>299.45</v>
      </c>
      <c r="M37" s="729" t="str">
        <f>VLOOKUP(J37,$N$8:$U$26,4,FALSE)</f>
        <v>Estado do RS</v>
      </c>
      <c r="N37" s="730"/>
    </row>
    <row r="38" spans="1:21" ht="14.1" customHeight="1" x14ac:dyDescent="0.25">
      <c r="B38" s="273" t="s">
        <v>507</v>
      </c>
      <c r="C38" s="728" t="s">
        <v>508</v>
      </c>
      <c r="D38" s="728"/>
      <c r="E38" s="728"/>
      <c r="F38" s="728"/>
      <c r="G38" s="274" t="s">
        <v>299</v>
      </c>
      <c r="H38" s="274" t="s">
        <v>23</v>
      </c>
      <c r="I38" s="275">
        <f>SUMIF('Orça-SD'!$B$5:$B$61,B38,'Orça-SD'!$E$5:$E$61)</f>
        <v>15.696409739999998</v>
      </c>
      <c r="J38" s="276">
        <f>IF(G38=$C$8,MIN($N$8:$N$10),IF(G38=$C$12,MIN($N$12:$N$14),IF(G38=$C$16,MIN($N$16:$N$18),IF(G38=$C$20,MIN($N$20:$N$22),IF(G38=$C$24,MIN($N$24:$N$26),"?")))))</f>
        <v>92648.99</v>
      </c>
      <c r="K38" s="277">
        <f t="shared" ref="K38:K41" si="9">VLOOKUP(J38,$N$8:$U$26,6,FALSE)</f>
        <v>163</v>
      </c>
      <c r="L38" s="276">
        <f t="shared" ref="L38:L41" si="10">VLOOKUP(J38,$N$8:$U$26,8,FALSE)</f>
        <v>163.52000000000001</v>
      </c>
      <c r="M38" s="729" t="str">
        <f t="shared" ref="M38:M41" si="11">VLOOKUP(J38,$N$8:$U$26,4,FALSE)</f>
        <v>Estado do RS</v>
      </c>
      <c r="N38" s="730"/>
    </row>
    <row r="39" spans="1:21" ht="14.1" customHeight="1" x14ac:dyDescent="0.25">
      <c r="B39" s="273" t="s">
        <v>479</v>
      </c>
      <c r="C39" s="728" t="s">
        <v>568</v>
      </c>
      <c r="D39" s="728"/>
      <c r="E39" s="728"/>
      <c r="F39" s="728"/>
      <c r="G39" s="274" t="s">
        <v>569</v>
      </c>
      <c r="H39" s="274" t="s">
        <v>23</v>
      </c>
      <c r="I39" s="275">
        <f>SUMIF('Orça-SD'!$B$5:$B$61,B39,'Orça-SD'!$E$5:$E$61)</f>
        <v>4.0403079600000007</v>
      </c>
      <c r="J39" s="276">
        <f>IF(G39=$C$8,MIN($N$8:$N$10),IF(G39=$C$12,MIN($N$12:$N$14),IF(G39=$C$16,MIN($N$16:$N$18),IF(G39=$C$20,MIN($N$20:$N$22),IF(G39=$C$24,MIN($N$24:$N$26),"?")))))</f>
        <v>24168.55</v>
      </c>
      <c r="K39" s="277">
        <f t="shared" si="9"/>
        <v>387</v>
      </c>
      <c r="L39" s="276">
        <f t="shared" si="10"/>
        <v>299.45</v>
      </c>
      <c r="M39" s="729" t="str">
        <f t="shared" si="11"/>
        <v>Estado do RS</v>
      </c>
      <c r="N39" s="730"/>
    </row>
    <row r="40" spans="1:21" ht="14.1" customHeight="1" x14ac:dyDescent="0.25">
      <c r="B40" s="273" t="s">
        <v>503</v>
      </c>
      <c r="C40" s="728" t="s">
        <v>504</v>
      </c>
      <c r="D40" s="728"/>
      <c r="E40" s="728"/>
      <c r="F40" s="728"/>
      <c r="G40" s="274" t="s">
        <v>549</v>
      </c>
      <c r="H40" s="274" t="s">
        <v>23</v>
      </c>
      <c r="I40" s="275">
        <f>SUMIF('Orça-SD'!$B$5:$B$61,B40,'Orça-SD'!$E$5:$E$61)</f>
        <v>0</v>
      </c>
      <c r="J40" s="276">
        <f>IF(G40=$C$8,MIN($N$8:$N$10),IF(G40=$C$12,MIN($N$12:$N$14),IF(G40=$C$16,MIN($N$16:$N$18),IF(G40=$C$20,MIN($N$20:$N$22),IF(G40=$C$24,MIN($N$24:$N$26),"?")))))</f>
        <v>0</v>
      </c>
      <c r="K40" s="277">
        <f t="shared" si="9"/>
        <v>387</v>
      </c>
      <c r="L40" s="276">
        <f t="shared" si="10"/>
        <v>299.45</v>
      </c>
      <c r="M40" s="729" t="str">
        <f t="shared" si="11"/>
        <v>Estado do RS</v>
      </c>
      <c r="N40" s="730"/>
    </row>
    <row r="41" spans="1:21" ht="14.1" customHeight="1" x14ac:dyDescent="0.25">
      <c r="B41" s="273" t="s">
        <v>478</v>
      </c>
      <c r="C41" s="728" t="s">
        <v>500</v>
      </c>
      <c r="D41" s="728"/>
      <c r="E41" s="728"/>
      <c r="F41" s="728"/>
      <c r="G41" s="274" t="s">
        <v>46</v>
      </c>
      <c r="H41" s="274" t="s">
        <v>23</v>
      </c>
      <c r="I41" s="275">
        <f>SUMIF('Orça-SD'!$B$5:$B$61,B41,'Orça-SD'!$E$5:$E$61)</f>
        <v>1.2590703000000001</v>
      </c>
      <c r="J41" s="276">
        <f>IF(G41=$C$8,MIN($N$8:$N$10),IF(G41=$C$12,MIN($N$12:$N$14),IF(G41=$C$16,MIN($N$16:$N$18),IF(G41=$C$20,MIN($N$20:$N$22),IF(G41=$C$24,MIN($N$24:$N$26),"?")))))</f>
        <v>4351.34</v>
      </c>
      <c r="K41" s="277">
        <f t="shared" si="9"/>
        <v>163</v>
      </c>
      <c r="L41" s="276">
        <f t="shared" si="10"/>
        <v>163.52000000000001</v>
      </c>
      <c r="M41" s="729" t="str">
        <f t="shared" si="11"/>
        <v>Estado do RS</v>
      </c>
      <c r="N41" s="730"/>
    </row>
    <row r="42" spans="1:21" ht="14.1" customHeight="1" thickBot="1" x14ac:dyDescent="0.3">
      <c r="B42" s="282"/>
      <c r="C42" s="721"/>
      <c r="D42" s="721"/>
      <c r="E42" s="721"/>
      <c r="F42" s="721"/>
      <c r="G42" s="283"/>
      <c r="H42" s="283"/>
      <c r="I42" s="284"/>
      <c r="J42" s="285"/>
      <c r="K42" s="286"/>
      <c r="L42" s="285"/>
      <c r="M42" s="722"/>
      <c r="N42" s="723"/>
    </row>
    <row r="43" spans="1:21" s="191" customFormat="1" ht="5.0999999999999996" customHeight="1" thickTop="1" thickBot="1" x14ac:dyDescent="0.3">
      <c r="P43" s="192"/>
      <c r="Q43" s="192"/>
    </row>
    <row r="44" spans="1:21" s="194" customFormat="1" ht="12.95" customHeight="1" thickTop="1" x14ac:dyDescent="0.25">
      <c r="A44" s="191"/>
      <c r="B44" s="287" t="s">
        <v>554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288"/>
      <c r="O44" s="191"/>
      <c r="R44" s="195"/>
      <c r="S44" s="195"/>
      <c r="T44" s="195"/>
      <c r="U44" s="195"/>
    </row>
    <row r="45" spans="1:21" s="194" customFormat="1" ht="12.95" customHeight="1" x14ac:dyDescent="0.25">
      <c r="A45" s="191"/>
      <c r="B45" s="289" t="s">
        <v>555</v>
      </c>
      <c r="C45" s="191"/>
      <c r="D45" s="191"/>
      <c r="E45" s="191"/>
      <c r="F45" s="191"/>
      <c r="G45" s="191"/>
      <c r="H45" s="290"/>
      <c r="I45" s="191"/>
      <c r="J45" s="290"/>
      <c r="K45" s="291"/>
      <c r="L45" s="191"/>
      <c r="M45" s="191"/>
      <c r="N45" s="204"/>
      <c r="O45" s="191"/>
      <c r="R45" s="195"/>
      <c r="S45" s="195"/>
      <c r="T45" s="195"/>
      <c r="U45" s="195"/>
    </row>
    <row r="46" spans="1:21" s="194" customFormat="1" ht="12.95" customHeight="1" x14ac:dyDescent="0.25">
      <c r="A46" s="191"/>
      <c r="B46" s="724" t="s">
        <v>556</v>
      </c>
      <c r="C46" s="725"/>
      <c r="D46" s="725"/>
      <c r="E46" s="725"/>
      <c r="F46" s="725"/>
      <c r="G46" s="725"/>
      <c r="H46" s="725"/>
      <c r="I46" s="725"/>
      <c r="J46" s="725"/>
      <c r="K46" s="726" t="s">
        <v>48</v>
      </c>
      <c r="L46" s="726"/>
      <c r="M46" s="726"/>
      <c r="N46" s="727"/>
      <c r="O46" s="191"/>
      <c r="R46" s="195"/>
      <c r="S46" s="195"/>
      <c r="T46" s="195"/>
      <c r="U46" s="195"/>
    </row>
    <row r="47" spans="1:21" s="194" customFormat="1" ht="12.95" customHeight="1" x14ac:dyDescent="0.25">
      <c r="A47" s="191"/>
      <c r="B47" s="289" t="s">
        <v>49</v>
      </c>
      <c r="C47" s="715" t="str">
        <f>CONCATENATE(C51," + ",D51," x D (por tonelada)")</f>
        <v>26,939 + 0,253 x D (por tonelada)</v>
      </c>
      <c r="D47" s="715"/>
      <c r="E47" s="715"/>
      <c r="F47" s="191"/>
      <c r="G47" s="191"/>
      <c r="H47" s="191"/>
      <c r="I47" s="191"/>
      <c r="J47" s="191"/>
      <c r="K47" s="716" t="s">
        <v>50</v>
      </c>
      <c r="L47" s="716"/>
      <c r="M47" s="321">
        <f>LIG.SD!M47</f>
        <v>44835</v>
      </c>
      <c r="N47" s="322">
        <f>LIG.SD!N47</f>
        <v>537.96400000000006</v>
      </c>
      <c r="O47" s="191"/>
      <c r="R47" s="195"/>
      <c r="S47" s="195"/>
      <c r="T47" s="195"/>
      <c r="U47" s="195"/>
    </row>
    <row r="48" spans="1:21" s="194" customFormat="1" ht="12.95" customHeight="1" x14ac:dyDescent="0.25">
      <c r="A48" s="191"/>
      <c r="B48" s="289" t="s">
        <v>51</v>
      </c>
      <c r="C48" s="715" t="str">
        <f>CONCATENATE(C52," + ",D52," x D (por tonelada)")</f>
        <v>26,939 + 0,299 x D (por tonelada)</v>
      </c>
      <c r="D48" s="715"/>
      <c r="E48" s="715"/>
      <c r="F48" s="191"/>
      <c r="G48" s="191"/>
      <c r="H48" s="191"/>
      <c r="I48" s="191"/>
      <c r="J48" s="191"/>
      <c r="K48" s="716" t="s">
        <v>52</v>
      </c>
      <c r="L48" s="716"/>
      <c r="M48" s="292">
        <v>41821</v>
      </c>
      <c r="N48" s="293">
        <v>270.23700000000002</v>
      </c>
      <c r="O48" s="191"/>
      <c r="R48" s="195"/>
      <c r="S48" s="195"/>
      <c r="T48" s="195"/>
      <c r="U48" s="195"/>
    </row>
    <row r="49" spans="1:21" s="194" customFormat="1" ht="12.95" customHeight="1" thickBot="1" x14ac:dyDescent="0.3">
      <c r="A49" s="191"/>
      <c r="B49" s="294" t="s">
        <v>53</v>
      </c>
      <c r="C49" s="717" t="str">
        <f>CONCATENATE(C53," + ",D53," x D (por tonelada)")</f>
        <v>26,939 + 0,412 x D (por tonelada)</v>
      </c>
      <c r="D49" s="717"/>
      <c r="E49" s="717"/>
      <c r="F49" s="208"/>
      <c r="G49" s="208"/>
      <c r="H49" s="208"/>
      <c r="I49" s="208"/>
      <c r="J49" s="208"/>
      <c r="K49" s="718" t="s">
        <v>54</v>
      </c>
      <c r="L49" s="718"/>
      <c r="M49" s="719">
        <f>TRUNC(N47/N48,5)</f>
        <v>1.99071</v>
      </c>
      <c r="N49" s="720"/>
      <c r="O49" s="191"/>
      <c r="R49" s="195"/>
      <c r="S49" s="195"/>
      <c r="T49" s="195"/>
      <c r="U49" s="195"/>
    </row>
    <row r="50" spans="1:21" s="194" customFormat="1" ht="5.0999999999999996" customHeight="1" thickTop="1" x14ac:dyDescent="0.25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2"/>
      <c r="R50" s="195"/>
      <c r="S50" s="195"/>
      <c r="T50" s="195"/>
      <c r="U50" s="195"/>
    </row>
    <row r="51" spans="1:21" s="194" customFormat="1" x14ac:dyDescent="0.25">
      <c r="A51" s="191"/>
      <c r="B51" s="195"/>
      <c r="C51" s="295">
        <v>26.939</v>
      </c>
      <c r="D51" s="295">
        <v>0.253</v>
      </c>
      <c r="E51" s="296">
        <v>0.15</v>
      </c>
      <c r="F51" s="295"/>
      <c r="G51" s="195"/>
      <c r="H51" s="195"/>
      <c r="I51" s="195"/>
      <c r="J51" s="195"/>
      <c r="K51" s="195"/>
      <c r="L51" s="297"/>
      <c r="M51" s="195"/>
      <c r="N51" s="195"/>
      <c r="O51" s="191"/>
      <c r="R51" s="195"/>
      <c r="S51" s="195"/>
      <c r="T51" s="195"/>
      <c r="U51" s="195"/>
    </row>
    <row r="52" spans="1:21" s="194" customFormat="1" x14ac:dyDescent="0.25">
      <c r="A52" s="191"/>
      <c r="B52" s="195"/>
      <c r="C52" s="295">
        <v>26.939</v>
      </c>
      <c r="D52" s="295">
        <v>0.29899999999999999</v>
      </c>
      <c r="E52" s="296">
        <v>0</v>
      </c>
      <c r="F52" s="295"/>
      <c r="G52" s="195"/>
      <c r="H52" s="195"/>
      <c r="I52" s="195"/>
      <c r="J52" s="195"/>
      <c r="K52" s="195"/>
      <c r="L52" s="195"/>
      <c r="M52" s="195"/>
      <c r="N52" s="195"/>
      <c r="O52" s="191"/>
      <c r="R52" s="195"/>
      <c r="S52" s="195"/>
      <c r="T52" s="195"/>
      <c r="U52" s="195"/>
    </row>
    <row r="53" spans="1:21" s="194" customFormat="1" x14ac:dyDescent="0.25">
      <c r="A53" s="191"/>
      <c r="B53" s="195"/>
      <c r="C53" s="295">
        <v>26.939</v>
      </c>
      <c r="D53" s="295">
        <v>0.41199999999999998</v>
      </c>
      <c r="E53" s="296">
        <v>0.21240000000000001</v>
      </c>
      <c r="F53" s="295"/>
      <c r="G53" s="195"/>
      <c r="H53" s="195"/>
      <c r="I53" s="195"/>
      <c r="J53" s="195"/>
      <c r="K53" s="195"/>
      <c r="L53" s="298"/>
      <c r="M53" s="195"/>
      <c r="N53" s="195"/>
      <c r="O53" s="191"/>
      <c r="R53" s="195"/>
      <c r="S53" s="195"/>
      <c r="T53" s="195"/>
      <c r="U53" s="195"/>
    </row>
    <row r="54" spans="1:21" s="194" customFormat="1" x14ac:dyDescent="0.25">
      <c r="A54" s="191"/>
      <c r="B54" s="195"/>
      <c r="C54" s="195"/>
      <c r="D54" s="195"/>
      <c r="E54" s="295"/>
      <c r="F54" s="195"/>
      <c r="G54" s="299" t="s">
        <v>557</v>
      </c>
      <c r="H54" s="195"/>
      <c r="I54" s="195"/>
      <c r="J54" s="195"/>
      <c r="K54" s="195"/>
      <c r="L54" s="195"/>
      <c r="M54" s="195"/>
      <c r="N54" s="195"/>
      <c r="O54" s="191"/>
      <c r="R54" s="195"/>
      <c r="S54" s="195"/>
      <c r="T54" s="195"/>
      <c r="U54" s="195"/>
    </row>
    <row r="56" spans="1:21" s="194" customFormat="1" ht="13.5" customHeight="1" x14ac:dyDescent="0.2">
      <c r="A56" s="191"/>
      <c r="B56" s="300" t="s">
        <v>55</v>
      </c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1"/>
      <c r="R56" s="195"/>
      <c r="S56" s="195"/>
      <c r="T56" s="195"/>
      <c r="U56" s="195"/>
    </row>
  </sheetData>
  <mergeCells count="53">
    <mergeCell ref="B5:N5"/>
    <mergeCell ref="B6:B7"/>
    <mergeCell ref="C6:C7"/>
    <mergeCell ref="D6:D7"/>
    <mergeCell ref="E6:E7"/>
    <mergeCell ref="F6:F7"/>
    <mergeCell ref="G6:J6"/>
    <mergeCell ref="Q6:Q7"/>
    <mergeCell ref="B28:B29"/>
    <mergeCell ref="C28:F29"/>
    <mergeCell ref="G28:G29"/>
    <mergeCell ref="H28:H29"/>
    <mergeCell ref="I28:I29"/>
    <mergeCell ref="J28:J29"/>
    <mergeCell ref="C31:F31"/>
    <mergeCell ref="M31:N31"/>
    <mergeCell ref="K6:M6"/>
    <mergeCell ref="N6:N7"/>
    <mergeCell ref="P6:P7"/>
    <mergeCell ref="K28:K29"/>
    <mergeCell ref="L28:L29"/>
    <mergeCell ref="M28:N29"/>
    <mergeCell ref="C30:F30"/>
    <mergeCell ref="M30:N30"/>
    <mergeCell ref="C32:F32"/>
    <mergeCell ref="M32:N32"/>
    <mergeCell ref="C33:F33"/>
    <mergeCell ref="M33:N33"/>
    <mergeCell ref="C34:F34"/>
    <mergeCell ref="M34:N34"/>
    <mergeCell ref="C35:F35"/>
    <mergeCell ref="M35:N35"/>
    <mergeCell ref="C37:F37"/>
    <mergeCell ref="M37:N37"/>
    <mergeCell ref="C38:F38"/>
    <mergeCell ref="M38:N38"/>
    <mergeCell ref="C39:F39"/>
    <mergeCell ref="M39:N39"/>
    <mergeCell ref="C40:F40"/>
    <mergeCell ref="M40:N40"/>
    <mergeCell ref="C41:F41"/>
    <mergeCell ref="M41:N41"/>
    <mergeCell ref="C42:F42"/>
    <mergeCell ref="M42:N42"/>
    <mergeCell ref="B46:J46"/>
    <mergeCell ref="K46:N46"/>
    <mergeCell ref="C47:E47"/>
    <mergeCell ref="K47:L47"/>
    <mergeCell ref="C48:E48"/>
    <mergeCell ref="K48:L48"/>
    <mergeCell ref="C49:E49"/>
    <mergeCell ref="K49:L49"/>
    <mergeCell ref="M49:N49"/>
  </mergeCells>
  <dataValidations disablePrompts="1" count="1">
    <dataValidation type="list" allowBlank="1" showInputMessage="1" showErrorMessage="1" sqref="E8">
      <formula1>$E$51:$E$53</formula1>
    </dataValidation>
  </dataValidations>
  <hyperlinks>
    <hyperlink ref="B56" r:id="rId1"/>
  </hyperlinks>
  <printOptions horizontalCentered="1"/>
  <pageMargins left="0.59055118110236227" right="0.19685039370078741" top="0.39370078740157483" bottom="0.78740157480314965" header="0" footer="0"/>
  <pageSetup paperSize="9" scale="77" fitToHeight="0" orientation="landscape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64"/>
  <sheetViews>
    <sheetView view="pageBreakPreview" zoomScaleNormal="100" zoomScaleSheetLayoutView="100" workbookViewId="0">
      <pane ySplit="3" topLeftCell="A39" activePane="bottomLeft" state="frozen"/>
      <selection pane="bottomLeft" activeCell="G62" sqref="G62"/>
    </sheetView>
  </sheetViews>
  <sheetFormatPr defaultRowHeight="15" x14ac:dyDescent="0.25"/>
  <cols>
    <col min="1" max="1" width="0.85546875" style="323" customWidth="1"/>
    <col min="2" max="2" width="13.85546875" style="326" bestFit="1" customWidth="1"/>
    <col min="3" max="3" width="75.7109375" style="326" customWidth="1"/>
    <col min="4" max="4" width="8.7109375" style="326" bestFit="1" customWidth="1"/>
    <col min="5" max="5" width="11.7109375" style="326" bestFit="1" customWidth="1"/>
    <col min="6" max="6" width="15.85546875" style="326" customWidth="1"/>
    <col min="7" max="7" width="15.7109375" style="326" customWidth="1"/>
    <col min="8" max="8" width="0.85546875" style="323" customWidth="1"/>
    <col min="9" max="9" width="7.140625" style="326" bestFit="1" customWidth="1"/>
    <col min="10" max="10" width="11.5703125" style="329" bestFit="1" customWidth="1"/>
    <col min="11" max="11" width="9.140625" style="326"/>
    <col min="12" max="12" width="10.140625" style="326" bestFit="1" customWidth="1"/>
    <col min="13" max="16384" width="9.140625" style="326"/>
  </cols>
  <sheetData>
    <row r="1" spans="2:16" ht="5.0999999999999996" customHeight="1" x14ac:dyDescent="0.25"/>
    <row r="2" spans="2:16" x14ac:dyDescent="0.25">
      <c r="B2" s="754" t="s">
        <v>572</v>
      </c>
      <c r="C2" s="754"/>
      <c r="D2" s="754"/>
      <c r="E2" s="754"/>
      <c r="F2" s="754"/>
      <c r="G2" s="754"/>
      <c r="I2" s="324"/>
      <c r="J2" s="325"/>
    </row>
    <row r="3" spans="2:16" ht="28.5" x14ac:dyDescent="0.25">
      <c r="B3" s="327" t="s">
        <v>11</v>
      </c>
      <c r="C3" s="328" t="s">
        <v>10</v>
      </c>
      <c r="D3" s="328" t="s">
        <v>12</v>
      </c>
      <c r="E3" s="328" t="s">
        <v>0</v>
      </c>
      <c r="F3" s="327" t="s">
        <v>15</v>
      </c>
      <c r="G3" s="327" t="s">
        <v>16</v>
      </c>
    </row>
    <row r="4" spans="2:16" x14ac:dyDescent="0.25">
      <c r="B4" s="330">
        <f>'Orça-SD'!B5</f>
        <v>1</v>
      </c>
      <c r="C4" s="331" t="str">
        <f>'Orça-SD'!C5</f>
        <v>TERRAPLANAGEM</v>
      </c>
      <c r="D4" s="332"/>
      <c r="E4" s="331"/>
      <c r="F4" s="331"/>
      <c r="G4" s="333"/>
    </row>
    <row r="5" spans="2:16" ht="45" x14ac:dyDescent="0.25">
      <c r="B5" s="334">
        <f>'Orça-SD'!B6</f>
        <v>5502112</v>
      </c>
      <c r="C5" s="335" t="str">
        <f>'Orça-SD'!C6</f>
        <v>Escavação, carga e transporte de material de 1ª categoria - DMT de 600 a 800 m - caminho de serviço em leito natural - com escavadeira e caminhão basculante de 14 m³</v>
      </c>
      <c r="D5" s="336" t="str">
        <f>'Orça-SD'!D6</f>
        <v>m³</v>
      </c>
      <c r="E5" s="337">
        <f>'Orça-SD'!E6</f>
        <v>16358.4</v>
      </c>
      <c r="F5" s="338"/>
      <c r="G5" s="339">
        <f>TRUNC(F5*E5,2)</f>
        <v>0</v>
      </c>
      <c r="I5" s="340"/>
      <c r="J5" s="341"/>
    </row>
    <row r="6" spans="2:16" x14ac:dyDescent="0.25">
      <c r="B6" s="334">
        <f>'Orça-SD'!B7</f>
        <v>5502985</v>
      </c>
      <c r="C6" s="335" t="str">
        <f>'Orça-SD'!C7</f>
        <v>Limpeza mecanizada da camada vegetal</v>
      </c>
      <c r="D6" s="336" t="str">
        <f>'Orça-SD'!D7</f>
        <v>m²</v>
      </c>
      <c r="E6" s="337">
        <f>'Orça-SD'!E7</f>
        <v>16624.599999999999</v>
      </c>
      <c r="F6" s="338"/>
      <c r="G6" s="339">
        <f t="shared" ref="G6:G59" si="0">TRUNC(F6*E6,2)</f>
        <v>0</v>
      </c>
      <c r="I6" s="340"/>
      <c r="J6" s="341"/>
    </row>
    <row r="7" spans="2:16" x14ac:dyDescent="0.25">
      <c r="B7" s="334">
        <f>'Orça-SD'!B8</f>
        <v>5503041</v>
      </c>
      <c r="C7" s="335" t="str">
        <f>'Orça-SD'!C8</f>
        <v>Compactação de aterros a 100% do Proctor intermediário</v>
      </c>
      <c r="D7" s="336" t="str">
        <f>'Orça-SD'!D8</f>
        <v>m³</v>
      </c>
      <c r="E7" s="337">
        <f>'Orça-SD'!E8</f>
        <v>13845.3</v>
      </c>
      <c r="F7" s="338"/>
      <c r="G7" s="339">
        <f t="shared" si="0"/>
        <v>0</v>
      </c>
      <c r="I7" s="340"/>
      <c r="J7" s="341"/>
    </row>
    <row r="8" spans="2:16" x14ac:dyDescent="0.25">
      <c r="B8" s="334">
        <f>'Orça-SD'!B9</f>
        <v>4413942</v>
      </c>
      <c r="C8" s="335" t="str">
        <f>'Orça-SD'!C9</f>
        <v>Espalhamento de material em bota-fora</v>
      </c>
      <c r="D8" s="336" t="str">
        <f>'Orça-SD'!D9</f>
        <v>m³</v>
      </c>
      <c r="E8" s="337">
        <f>'Orça-SD'!E9</f>
        <v>3615.2</v>
      </c>
      <c r="F8" s="338"/>
      <c r="G8" s="339">
        <f t="shared" si="0"/>
        <v>0</v>
      </c>
      <c r="I8" s="340"/>
      <c r="J8" s="341"/>
      <c r="L8" s="342"/>
    </row>
    <row r="9" spans="2:16" x14ac:dyDescent="0.25">
      <c r="B9" s="334">
        <f>'Orça-SD'!B10</f>
        <v>4805757</v>
      </c>
      <c r="C9" s="335" t="str">
        <f>'Orça-SD'!C10</f>
        <v>Escavação mecânica de vala em material de 1ª categoria</v>
      </c>
      <c r="D9" s="336" t="str">
        <f>'Orça-SD'!D10</f>
        <v>m³</v>
      </c>
      <c r="E9" s="337">
        <f>'Orça-SD'!E10</f>
        <v>5843.7</v>
      </c>
      <c r="F9" s="338"/>
      <c r="G9" s="339">
        <f t="shared" si="0"/>
        <v>0</v>
      </c>
      <c r="I9" s="340"/>
      <c r="J9" s="341"/>
      <c r="L9" s="342"/>
    </row>
    <row r="10" spans="2:16" s="323" customFormat="1" x14ac:dyDescent="0.25">
      <c r="B10" s="348"/>
      <c r="C10" s="349"/>
      <c r="D10" s="350"/>
      <c r="E10" s="351"/>
      <c r="F10" s="352" t="s">
        <v>628</v>
      </c>
      <c r="G10" s="353">
        <f>SUM(G5:G9)</f>
        <v>0</v>
      </c>
      <c r="I10" s="343"/>
      <c r="J10" s="344"/>
    </row>
    <row r="11" spans="2:16" x14ac:dyDescent="0.25">
      <c r="B11" s="330">
        <f>'Orça-SD'!B12</f>
        <v>2</v>
      </c>
      <c r="C11" s="331" t="str">
        <f>'Orça-SD'!C12</f>
        <v>PAVIMENTAÇÃO</v>
      </c>
      <c r="D11" s="332"/>
      <c r="E11" s="331"/>
      <c r="F11" s="331"/>
      <c r="G11" s="333"/>
      <c r="I11" s="340"/>
    </row>
    <row r="12" spans="2:16" x14ac:dyDescent="0.25">
      <c r="B12" s="334">
        <f>'Orça-SD'!B13</f>
        <v>4011466</v>
      </c>
      <c r="C12" s="335" t="str">
        <f>'Orça-SD'!C13</f>
        <v>Concreto asfáltico com asfalto polímero - faixa C - areia e brita comerciais</v>
      </c>
      <c r="D12" s="336" t="str">
        <f>'Orça-SD'!D13</f>
        <v>t</v>
      </c>
      <c r="E12" s="337">
        <f>'Orça-SD'!E13</f>
        <v>285.38926799999996</v>
      </c>
      <c r="F12" s="338"/>
      <c r="G12" s="339">
        <f t="shared" si="0"/>
        <v>0</v>
      </c>
      <c r="I12" s="340"/>
      <c r="J12" s="345"/>
      <c r="K12" s="346"/>
      <c r="L12" s="342"/>
      <c r="M12" s="345"/>
      <c r="N12" s="346"/>
      <c r="O12" s="342"/>
      <c r="P12" s="342"/>
    </row>
    <row r="13" spans="2:16" x14ac:dyDescent="0.25">
      <c r="B13" s="334">
        <f>'Orça-SD'!B14</f>
        <v>4011276</v>
      </c>
      <c r="C13" s="335" t="str">
        <f>'Orça-SD'!C14</f>
        <v>Base ou sub-base de brita graduada com brita comercial</v>
      </c>
      <c r="D13" s="336" t="str">
        <f>'Orça-SD'!D14</f>
        <v>m³</v>
      </c>
      <c r="E13" s="337">
        <f>'Orça-SD'!E14</f>
        <v>466.18938000000003</v>
      </c>
      <c r="F13" s="338"/>
      <c r="G13" s="339">
        <f t="shared" si="0"/>
        <v>0</v>
      </c>
      <c r="I13" s="340"/>
      <c r="J13" s="345"/>
      <c r="K13" s="346"/>
      <c r="L13" s="342"/>
      <c r="M13" s="345"/>
      <c r="O13" s="342"/>
      <c r="P13" s="342"/>
    </row>
    <row r="14" spans="2:16" x14ac:dyDescent="0.25">
      <c r="B14" s="334">
        <f>'Orça-SD'!B15</f>
        <v>4011279</v>
      </c>
      <c r="C14" s="335" t="str">
        <f>'Orça-SD'!C15</f>
        <v>Base ou sub-base de macadame seco com brita comercial</v>
      </c>
      <c r="D14" s="336" t="str">
        <f>'Orça-SD'!D15</f>
        <v>m³</v>
      </c>
      <c r="E14" s="337">
        <f>'Orça-SD'!E15</f>
        <v>615.36998160000007</v>
      </c>
      <c r="F14" s="338"/>
      <c r="G14" s="339">
        <f t="shared" si="0"/>
        <v>0</v>
      </c>
      <c r="I14" s="340"/>
      <c r="J14" s="345"/>
      <c r="K14" s="346"/>
      <c r="L14" s="342"/>
      <c r="M14" s="345"/>
      <c r="O14" s="342"/>
      <c r="P14" s="342"/>
    </row>
    <row r="15" spans="2:16" x14ac:dyDescent="0.25">
      <c r="B15" s="334">
        <f>'Orça-SD'!B16</f>
        <v>4011351</v>
      </c>
      <c r="C15" s="335" t="str">
        <f>'Orça-SD'!C16</f>
        <v>Imprimação com asfalto diluído</v>
      </c>
      <c r="D15" s="336" t="str">
        <f>'Orça-SD'!D16</f>
        <v>m²</v>
      </c>
      <c r="E15" s="337">
        <f>'Orça-SD'!E16</f>
        <v>3107.9292000000005</v>
      </c>
      <c r="F15" s="338"/>
      <c r="G15" s="339">
        <f t="shared" si="0"/>
        <v>0</v>
      </c>
      <c r="I15" s="340"/>
      <c r="J15" s="345"/>
      <c r="K15" s="346"/>
      <c r="M15" s="345"/>
      <c r="P15" s="342"/>
    </row>
    <row r="16" spans="2:16" x14ac:dyDescent="0.25">
      <c r="B16" s="334">
        <f>'Orça-SD'!B17</f>
        <v>4011353</v>
      </c>
      <c r="C16" s="335" t="str">
        <f>'Orça-SD'!C17</f>
        <v>Pintura de ligação</v>
      </c>
      <c r="D16" s="336" t="str">
        <f>'Orça-SD'!D17</f>
        <v>m²</v>
      </c>
      <c r="E16" s="337">
        <f>'Orça-SD'!E17</f>
        <v>2797.9340000000002</v>
      </c>
      <c r="F16" s="338"/>
      <c r="G16" s="339">
        <f t="shared" si="0"/>
        <v>0</v>
      </c>
      <c r="I16" s="340"/>
      <c r="J16" s="345"/>
      <c r="K16" s="346"/>
      <c r="M16" s="345"/>
      <c r="P16" s="342"/>
    </row>
    <row r="17" spans="2:16" x14ac:dyDescent="0.25">
      <c r="B17" s="334">
        <f>'Orça-SD'!B18</f>
        <v>4011209</v>
      </c>
      <c r="C17" s="335" t="str">
        <f>'Orça-SD'!C18</f>
        <v>Regularização do subleito</v>
      </c>
      <c r="D17" s="336" t="str">
        <f>'Orça-SD'!D18</f>
        <v>m²</v>
      </c>
      <c r="E17" s="337">
        <f>'Orça-SD'!E18</f>
        <v>3418.7221200000008</v>
      </c>
      <c r="F17" s="338"/>
      <c r="G17" s="339">
        <f t="shared" si="0"/>
        <v>0</v>
      </c>
      <c r="I17" s="340"/>
      <c r="J17" s="345"/>
      <c r="K17" s="346"/>
      <c r="M17" s="345"/>
      <c r="P17" s="342"/>
    </row>
    <row r="18" spans="2:16" x14ac:dyDescent="0.25">
      <c r="B18" s="334">
        <f>'Orça-SD'!B19</f>
        <v>4011479</v>
      </c>
      <c r="C18" s="335" t="str">
        <f>'Orça-SD'!C19</f>
        <v>Fresagem contínua de revestimento asfáltico</v>
      </c>
      <c r="D18" s="336" t="str">
        <f>'Orça-SD'!D19</f>
        <v>m³</v>
      </c>
      <c r="E18" s="337">
        <f>'Orça-SD'!E19</f>
        <v>14.4</v>
      </c>
      <c r="F18" s="338"/>
      <c r="G18" s="339">
        <f t="shared" si="0"/>
        <v>0</v>
      </c>
      <c r="I18" s="340"/>
      <c r="J18" s="345"/>
      <c r="K18" s="346"/>
      <c r="M18" s="345"/>
      <c r="N18" s="346"/>
      <c r="O18" s="342"/>
      <c r="P18" s="342"/>
    </row>
    <row r="19" spans="2:16" x14ac:dyDescent="0.25">
      <c r="B19" s="334">
        <f>'Orça-SD'!B20</f>
        <v>4915669</v>
      </c>
      <c r="C19" s="335" t="str">
        <f>'Orça-SD'!C20</f>
        <v>Remoção mecanizada de camada granular do pavimento</v>
      </c>
      <c r="D19" s="336" t="str">
        <f>'Orça-SD'!D20</f>
        <v>m³</v>
      </c>
      <c r="E19" s="337">
        <f>'Orça-SD'!E20</f>
        <v>280</v>
      </c>
      <c r="F19" s="338"/>
      <c r="G19" s="339">
        <f t="shared" si="0"/>
        <v>0</v>
      </c>
      <c r="I19" s="340"/>
      <c r="J19" s="345"/>
      <c r="K19" s="346"/>
      <c r="L19" s="342"/>
    </row>
    <row r="20" spans="2:16" x14ac:dyDescent="0.25">
      <c r="B20" s="334" t="str">
        <f>'Orça-SD'!B21</f>
        <v>*101170</v>
      </c>
      <c r="C20" s="335" t="str">
        <f>'Orça-SD'!C21</f>
        <v>Execução de Pavimento em Pedras Poliédricas, Rejuntamento com Pó de Pedra</v>
      </c>
      <c r="D20" s="336" t="str">
        <f>'Orça-SD'!D21</f>
        <v>m²</v>
      </c>
      <c r="E20" s="337">
        <f>'Orça-SD'!E21</f>
        <v>19603.744999999999</v>
      </c>
      <c r="F20" s="338"/>
      <c r="G20" s="339">
        <f t="shared" si="0"/>
        <v>0</v>
      </c>
      <c r="I20" s="340"/>
      <c r="J20" s="345"/>
      <c r="K20" s="346"/>
      <c r="L20" s="342"/>
    </row>
    <row r="21" spans="2:16" s="323" customFormat="1" x14ac:dyDescent="0.25">
      <c r="B21" s="348"/>
      <c r="C21" s="349"/>
      <c r="D21" s="350"/>
      <c r="E21" s="351"/>
      <c r="F21" s="352" t="s">
        <v>629</v>
      </c>
      <c r="G21" s="353">
        <f>SUM(G12:G20)</f>
        <v>0</v>
      </c>
      <c r="I21" s="343"/>
      <c r="J21" s="344"/>
    </row>
    <row r="22" spans="2:16" x14ac:dyDescent="0.25">
      <c r="B22" s="330">
        <f>'Orça-SD'!B23</f>
        <v>3</v>
      </c>
      <c r="C22" s="331" t="str">
        <f>'Orça-SD'!C23</f>
        <v>DRENAGEM</v>
      </c>
      <c r="D22" s="332"/>
      <c r="E22" s="331"/>
      <c r="F22" s="331"/>
      <c r="G22" s="333"/>
      <c r="I22" s="340"/>
    </row>
    <row r="23" spans="2:16" x14ac:dyDescent="0.25">
      <c r="B23" s="334">
        <f>'Orça-SD'!B24</f>
        <v>804037</v>
      </c>
      <c r="C23" s="335" t="str">
        <f>'Orça-SD'!C24</f>
        <v>Corpo de BSTC D = 1,00 m PA1 - areia, brita e pedra de mão comerciais</v>
      </c>
      <c r="D23" s="336" t="str">
        <f>'Orça-SD'!D24</f>
        <v>m</v>
      </c>
      <c r="E23" s="337">
        <f>'Orça-SD'!E24</f>
        <v>177</v>
      </c>
      <c r="F23" s="338"/>
      <c r="G23" s="339">
        <f t="shared" si="0"/>
        <v>0</v>
      </c>
      <c r="I23" s="340"/>
    </row>
    <row r="24" spans="2:16" x14ac:dyDescent="0.25">
      <c r="B24" s="334">
        <f>'Orça-SD'!B25</f>
        <v>804393</v>
      </c>
      <c r="C24" s="335" t="str">
        <f>'Orça-SD'!C25</f>
        <v>Boca de BSTC D = 1,00 m - esconsidade 0° - areia e brita comerciais - alas esconsas</v>
      </c>
      <c r="D24" s="336" t="str">
        <f>'Orça-SD'!D25</f>
        <v>un</v>
      </c>
      <c r="E24" s="337">
        <f>'Orça-SD'!E25</f>
        <v>18</v>
      </c>
      <c r="F24" s="338"/>
      <c r="G24" s="339">
        <f t="shared" si="0"/>
        <v>0</v>
      </c>
      <c r="I24" s="340"/>
    </row>
    <row r="25" spans="2:16" ht="30" x14ac:dyDescent="0.25">
      <c r="B25" s="334">
        <f>'Orça-SD'!B26</f>
        <v>2003321</v>
      </c>
      <c r="C25" s="335" t="str">
        <f>'Orça-SD'!C26</f>
        <v>Sarjeta triangular de concreto - STC 02 - escavação mecânica - areia e brita comerciais</v>
      </c>
      <c r="D25" s="336" t="str">
        <f>'Orça-SD'!D26</f>
        <v>m</v>
      </c>
      <c r="E25" s="337">
        <f>'Orça-SD'!E26</f>
        <v>471</v>
      </c>
      <c r="F25" s="338"/>
      <c r="G25" s="339">
        <f t="shared" si="0"/>
        <v>0</v>
      </c>
      <c r="I25" s="340"/>
    </row>
    <row r="26" spans="2:16" s="323" customFormat="1" x14ac:dyDescent="0.25">
      <c r="B26" s="348"/>
      <c r="C26" s="349"/>
      <c r="D26" s="350"/>
      <c r="E26" s="351"/>
      <c r="F26" s="352" t="s">
        <v>630</v>
      </c>
      <c r="G26" s="353">
        <f>SUM(G23:G25)</f>
        <v>0</v>
      </c>
      <c r="I26" s="343"/>
      <c r="J26" s="344"/>
    </row>
    <row r="27" spans="2:16" x14ac:dyDescent="0.25">
      <c r="B27" s="330">
        <f>'Orça-SD'!B28</f>
        <v>4</v>
      </c>
      <c r="C27" s="331" t="str">
        <f>'Orça-SD'!C28</f>
        <v>OBRAS COMPLEMENTARES</v>
      </c>
      <c r="D27" s="332"/>
      <c r="E27" s="331"/>
      <c r="F27" s="331"/>
      <c r="G27" s="333"/>
      <c r="I27" s="340"/>
    </row>
    <row r="28" spans="2:16" x14ac:dyDescent="0.25">
      <c r="B28" s="334">
        <f>'Orça-SD'!B29</f>
        <v>2003377</v>
      </c>
      <c r="C28" s="335" t="str">
        <f>'Orça-SD'!C29</f>
        <v>Meio-fio de concreto - MFC 05 - areia e brita comerciais - fôrma de madeira</v>
      </c>
      <c r="D28" s="336" t="str">
        <f>'Orça-SD'!D29</f>
        <v>m</v>
      </c>
      <c r="E28" s="337">
        <f>'Orça-SD'!E29</f>
        <v>5321</v>
      </c>
      <c r="F28" s="338"/>
      <c r="G28" s="339">
        <f t="shared" si="0"/>
        <v>0</v>
      </c>
      <c r="I28" s="340"/>
    </row>
    <row r="29" spans="2:16" x14ac:dyDescent="0.25">
      <c r="B29" s="334">
        <f>'Orça-SD'!B30</f>
        <v>4413996</v>
      </c>
      <c r="C29" s="335" t="str">
        <f>'Orça-SD'!C30</f>
        <v>Enleivamento</v>
      </c>
      <c r="D29" s="336" t="str">
        <f>'Orça-SD'!D30</f>
        <v>m²</v>
      </c>
      <c r="E29" s="337">
        <f>'Orça-SD'!E30</f>
        <v>498.51800000000003</v>
      </c>
      <c r="F29" s="338"/>
      <c r="G29" s="339">
        <f t="shared" si="0"/>
        <v>0</v>
      </c>
      <c r="I29" s="340"/>
    </row>
    <row r="30" spans="2:16" s="323" customFormat="1" x14ac:dyDescent="0.25">
      <c r="B30" s="348"/>
      <c r="C30" s="349"/>
      <c r="D30" s="350"/>
      <c r="E30" s="351"/>
      <c r="F30" s="352" t="s">
        <v>631</v>
      </c>
      <c r="G30" s="353">
        <f>SUM(G28:G29)</f>
        <v>0</v>
      </c>
      <c r="I30" s="343"/>
      <c r="J30" s="344"/>
    </row>
    <row r="31" spans="2:16" x14ac:dyDescent="0.25">
      <c r="B31" s="330">
        <f>'Orça-SD'!B32</f>
        <v>5</v>
      </c>
      <c r="C31" s="331" t="str">
        <f>'Orça-SD'!C32</f>
        <v>SINALIZAÇÃO</v>
      </c>
      <c r="D31" s="332"/>
      <c r="E31" s="331"/>
      <c r="F31" s="331"/>
      <c r="G31" s="333"/>
      <c r="I31" s="340"/>
    </row>
    <row r="32" spans="2:16" x14ac:dyDescent="0.25">
      <c r="B32" s="334">
        <f>'Orça-SD'!B33</f>
        <v>5213572</v>
      </c>
      <c r="C32" s="335" t="str">
        <f>'Orça-SD'!C33</f>
        <v>Placa em aço - película III + III - fornecimento e implantação</v>
      </c>
      <c r="D32" s="336" t="str">
        <f>'Orça-SD'!D33</f>
        <v>m²</v>
      </c>
      <c r="E32" s="337">
        <f>'Orça-SD'!E33</f>
        <v>39.340000000000003</v>
      </c>
      <c r="F32" s="338"/>
      <c r="G32" s="339">
        <f t="shared" si="0"/>
        <v>0</v>
      </c>
      <c r="I32" s="340"/>
    </row>
    <row r="33" spans="2:10" ht="30" x14ac:dyDescent="0.25">
      <c r="B33" s="334">
        <f>'Orça-SD'!B34</f>
        <v>5216111</v>
      </c>
      <c r="C33" s="335" t="str">
        <f>'Orça-SD'!C34</f>
        <v>Suporte para placa de sinalização em madeira de lei tratada 8 x 8 cm - fornecimento e implantação</v>
      </c>
      <c r="D33" s="336" t="str">
        <f>'Orça-SD'!D34</f>
        <v>un</v>
      </c>
      <c r="E33" s="337">
        <f>'Orça-SD'!E34</f>
        <v>39</v>
      </c>
      <c r="F33" s="338"/>
      <c r="G33" s="339">
        <f t="shared" si="0"/>
        <v>0</v>
      </c>
      <c r="I33" s="340"/>
    </row>
    <row r="34" spans="2:10" x14ac:dyDescent="0.25">
      <c r="B34" s="334">
        <f>'Orça-SD'!B35</f>
        <v>5213402</v>
      </c>
      <c r="C34" s="335" t="str">
        <f>'Orça-SD'!C35</f>
        <v>Pintura de faixa com tinta acrílica emulsionada em água - espessura de 0,4 mm</v>
      </c>
      <c r="D34" s="336" t="str">
        <f>'Orça-SD'!D35</f>
        <v>m²</v>
      </c>
      <c r="E34" s="337">
        <f>'Orça-SD'!E35</f>
        <v>386.25</v>
      </c>
      <c r="F34" s="338"/>
      <c r="G34" s="339">
        <f t="shared" si="0"/>
        <v>0</v>
      </c>
      <c r="I34" s="340"/>
    </row>
    <row r="35" spans="2:10" ht="30" x14ac:dyDescent="0.25">
      <c r="B35" s="334">
        <f>'Orça-SD'!B36</f>
        <v>5213406</v>
      </c>
      <c r="C35" s="335" t="str">
        <f>'Orça-SD'!C36</f>
        <v>Pintura de setas e zebrados com tinta acrílica emulsionada em água - espessura de 0,4 mm</v>
      </c>
      <c r="D35" s="336" t="str">
        <f>'Orça-SD'!D36</f>
        <v>m²</v>
      </c>
      <c r="E35" s="337">
        <f>'Orça-SD'!E36</f>
        <v>63.844999999999999</v>
      </c>
      <c r="F35" s="338"/>
      <c r="G35" s="339">
        <f t="shared" si="0"/>
        <v>0</v>
      </c>
      <c r="I35" s="340"/>
    </row>
    <row r="36" spans="2:10" x14ac:dyDescent="0.25">
      <c r="B36" s="334">
        <f>'Orça-SD'!B37</f>
        <v>5219605</v>
      </c>
      <c r="C36" s="335" t="str">
        <f>'Orça-SD'!C37</f>
        <v>Tacha refletiva em plástico injetado - bidirecional tipo I - fornecimento e colocação</v>
      </c>
      <c r="D36" s="336" t="str">
        <f>'Orça-SD'!D37</f>
        <v>un</v>
      </c>
      <c r="E36" s="337">
        <f>'Orça-SD'!E37</f>
        <v>209</v>
      </c>
      <c r="F36" s="338"/>
      <c r="G36" s="339">
        <f t="shared" si="0"/>
        <v>0</v>
      </c>
      <c r="I36" s="340"/>
    </row>
    <row r="37" spans="2:10" x14ac:dyDescent="0.25">
      <c r="B37" s="334">
        <f>'Orça-SD'!B38</f>
        <v>5219644</v>
      </c>
      <c r="C37" s="335" t="str">
        <f>'Orça-SD'!C38</f>
        <v>Tachão refletivo em resina sintética - monodirecional - fornecimento e colocação</v>
      </c>
      <c r="D37" s="336" t="str">
        <f>'Orça-SD'!D38</f>
        <v>un</v>
      </c>
      <c r="E37" s="337">
        <f>'Orça-SD'!E38</f>
        <v>20</v>
      </c>
      <c r="F37" s="338"/>
      <c r="G37" s="339">
        <f t="shared" si="0"/>
        <v>0</v>
      </c>
      <c r="I37" s="340"/>
    </row>
    <row r="38" spans="2:10" x14ac:dyDescent="0.25">
      <c r="B38" s="334">
        <f>'Orça-SD'!B39</f>
        <v>5219643</v>
      </c>
      <c r="C38" s="335" t="str">
        <f>'Orça-SD'!C39</f>
        <v>Tachão refletivo em resina sintética - bidirecional - fornecimento e colocação</v>
      </c>
      <c r="D38" s="336" t="str">
        <f>'Orça-SD'!D39</f>
        <v>un</v>
      </c>
      <c r="E38" s="337">
        <f>'Orça-SD'!E39</f>
        <v>55</v>
      </c>
      <c r="F38" s="338"/>
      <c r="G38" s="339">
        <f t="shared" si="0"/>
        <v>0</v>
      </c>
      <c r="I38" s="340"/>
    </row>
    <row r="39" spans="2:10" x14ac:dyDescent="0.25">
      <c r="B39" s="348"/>
      <c r="C39" s="349"/>
      <c r="D39" s="350"/>
      <c r="E39" s="351"/>
      <c r="F39" s="352" t="s">
        <v>632</v>
      </c>
      <c r="G39" s="353">
        <f>SUM(G32:G38)</f>
        <v>0</v>
      </c>
      <c r="I39" s="340"/>
    </row>
    <row r="40" spans="2:10" s="323" customFormat="1" x14ac:dyDescent="0.25">
      <c r="B40" s="330">
        <f>'Orça-SD'!B41</f>
        <v>6</v>
      </c>
      <c r="C40" s="331" t="str">
        <f>'Orça-SD'!C41</f>
        <v>LIGANTES ASFÁLTICOS</v>
      </c>
      <c r="D40" s="332"/>
      <c r="E40" s="331"/>
      <c r="F40" s="331"/>
      <c r="G40" s="333"/>
      <c r="I40" s="343"/>
      <c r="J40" s="344"/>
    </row>
    <row r="41" spans="2:10" x14ac:dyDescent="0.25">
      <c r="B41" s="334" t="str">
        <f>'Orça-SD'!B42</f>
        <v>Aq.CAP-60/85</v>
      </c>
      <c r="C41" s="335" t="str">
        <f>'Orça-SD'!C42</f>
        <v>Aquisição de CAP 60/85</v>
      </c>
      <c r="D41" s="336" t="str">
        <f>'Orça-SD'!D42</f>
        <v>t</v>
      </c>
      <c r="E41" s="337">
        <f>'Orça-SD'!E42</f>
        <v>15.696409739999998</v>
      </c>
      <c r="F41" s="338"/>
      <c r="G41" s="339">
        <f t="shared" si="0"/>
        <v>0</v>
      </c>
      <c r="I41" s="340"/>
    </row>
    <row r="42" spans="2:10" x14ac:dyDescent="0.25">
      <c r="B42" s="334" t="str">
        <f>'Orça-SD'!B43</f>
        <v>Tr.CAP-60/85</v>
      </c>
      <c r="C42" s="335" t="str">
        <f>'Orça-SD'!C43</f>
        <v>Transporte de CAP 60/85</v>
      </c>
      <c r="D42" s="336" t="str">
        <f>'Orça-SD'!D43</f>
        <v>t</v>
      </c>
      <c r="E42" s="337">
        <f>'Orça-SD'!E43</f>
        <v>15.696409739999998</v>
      </c>
      <c r="F42" s="338"/>
      <c r="G42" s="339">
        <f t="shared" si="0"/>
        <v>0</v>
      </c>
      <c r="I42" s="340"/>
      <c r="J42" s="347"/>
    </row>
    <row r="43" spans="2:10" x14ac:dyDescent="0.25">
      <c r="B43" s="334" t="str">
        <f>'Orça-SD'!B44</f>
        <v>Aq.CM-30</v>
      </c>
      <c r="C43" s="335" t="str">
        <f>'Orça-SD'!C44</f>
        <v>Aquisição de Asfalto Diluído CM-30</v>
      </c>
      <c r="D43" s="336" t="str">
        <f>'Orça-SD'!D44</f>
        <v>t</v>
      </c>
      <c r="E43" s="337">
        <f>'Orça-SD'!E44</f>
        <v>4.0403079600000007</v>
      </c>
      <c r="F43" s="338"/>
      <c r="G43" s="339">
        <f t="shared" si="0"/>
        <v>0</v>
      </c>
      <c r="I43" s="340"/>
      <c r="J43" s="347"/>
    </row>
    <row r="44" spans="2:10" x14ac:dyDescent="0.25">
      <c r="B44" s="334" t="str">
        <f>'Orça-SD'!B45</f>
        <v>Tr.CM-30</v>
      </c>
      <c r="C44" s="335" t="str">
        <f>'Orça-SD'!C45</f>
        <v>Transporte de Asfalto Diluído CM-30</v>
      </c>
      <c r="D44" s="336" t="str">
        <f>'Orça-SD'!D45</f>
        <v>t</v>
      </c>
      <c r="E44" s="337">
        <f>'Orça-SD'!E45</f>
        <v>4.0403079600000007</v>
      </c>
      <c r="F44" s="338"/>
      <c r="G44" s="339">
        <f t="shared" si="0"/>
        <v>0</v>
      </c>
      <c r="I44" s="340"/>
      <c r="J44" s="347"/>
    </row>
    <row r="45" spans="2:10" x14ac:dyDescent="0.25">
      <c r="B45" s="334" t="str">
        <f>'Orça-SD'!B46</f>
        <v>Aq.RR-1C</v>
      </c>
      <c r="C45" s="335" t="str">
        <f>'Orça-SD'!C46</f>
        <v>Aquisição de RR-1C</v>
      </c>
      <c r="D45" s="336" t="str">
        <f>'Orça-SD'!D46</f>
        <v>t</v>
      </c>
      <c r="E45" s="337">
        <f>'Orça-SD'!E46</f>
        <v>1.2590703000000001</v>
      </c>
      <c r="F45" s="338"/>
      <c r="G45" s="339">
        <f t="shared" si="0"/>
        <v>0</v>
      </c>
      <c r="I45" s="340"/>
      <c r="J45" s="347"/>
    </row>
    <row r="46" spans="2:10" x14ac:dyDescent="0.25">
      <c r="B46" s="334" t="str">
        <f>'Orça-SD'!B47</f>
        <v>Tr.RR-1C</v>
      </c>
      <c r="C46" s="335" t="str">
        <f>'Orça-SD'!C47</f>
        <v>Transporte de RR-1C</v>
      </c>
      <c r="D46" s="336" t="str">
        <f>'Orça-SD'!D47</f>
        <v>t</v>
      </c>
      <c r="E46" s="337">
        <f>'Orça-SD'!E47</f>
        <v>1.2590703000000001</v>
      </c>
      <c r="F46" s="338"/>
      <c r="G46" s="339">
        <f t="shared" si="0"/>
        <v>0</v>
      </c>
      <c r="I46" s="340"/>
      <c r="J46" s="347"/>
    </row>
    <row r="47" spans="2:10" x14ac:dyDescent="0.25">
      <c r="B47" s="348"/>
      <c r="C47" s="349"/>
      <c r="D47" s="350"/>
      <c r="E47" s="351"/>
      <c r="F47" s="352" t="s">
        <v>633</v>
      </c>
      <c r="G47" s="353">
        <f>SUM(G41:G46)</f>
        <v>0</v>
      </c>
      <c r="I47" s="340"/>
    </row>
    <row r="48" spans="2:10" s="323" customFormat="1" x14ac:dyDescent="0.25">
      <c r="B48" s="330">
        <f>'Orça-SD'!B49</f>
        <v>7</v>
      </c>
      <c r="C48" s="331" t="str">
        <f>'Orça-SD'!C49</f>
        <v>TRANSPORTES</v>
      </c>
      <c r="D48" s="332"/>
      <c r="E48" s="331"/>
      <c r="F48" s="331"/>
      <c r="G48" s="333"/>
      <c r="I48" s="343"/>
      <c r="J48" s="344"/>
    </row>
    <row r="49" spans="1:17" x14ac:dyDescent="0.25">
      <c r="B49" s="334">
        <f>'Orça-SD'!B50</f>
        <v>5914389</v>
      </c>
      <c r="C49" s="335" t="str">
        <f>'Orça-SD'!C50</f>
        <v>Transporte com caminhão basculante de 10 m³ - rodovia pavimentada</v>
      </c>
      <c r="D49" s="336" t="str">
        <f>'Orça-SD'!D50</f>
        <v>tkm</v>
      </c>
      <c r="E49" s="337">
        <f>'Orça-SD'!E50</f>
        <v>51388.04270000002</v>
      </c>
      <c r="F49" s="338"/>
      <c r="G49" s="339">
        <f t="shared" si="0"/>
        <v>0</v>
      </c>
      <c r="I49" s="340"/>
    </row>
    <row r="50" spans="1:17" ht="30" x14ac:dyDescent="0.25">
      <c r="B50" s="334">
        <f>'Orça-SD'!B51</f>
        <v>5914366</v>
      </c>
      <c r="C50" s="335" t="str">
        <f>'Orça-SD'!C51</f>
        <v>Transporte de cimento ou cal hidratada a granel com caminhão silo de 30 m³ - rodovia pavimentada</v>
      </c>
      <c r="D50" s="336" t="str">
        <f>'Orça-SD'!D51</f>
        <v>tkm</v>
      </c>
      <c r="E50" s="337">
        <f>'Orça-SD'!E51</f>
        <v>55.471500000000006</v>
      </c>
      <c r="F50" s="338"/>
      <c r="G50" s="339">
        <f t="shared" si="0"/>
        <v>0</v>
      </c>
      <c r="I50" s="340"/>
    </row>
    <row r="51" spans="1:17" x14ac:dyDescent="0.25">
      <c r="B51" s="334">
        <f>'Orça-SD'!B52</f>
        <v>5914344</v>
      </c>
      <c r="C51" s="335" t="str">
        <f>'Orça-SD'!C52</f>
        <v>Transporte com caminhão basculante de 6 m³ - rodovia pavimentada</v>
      </c>
      <c r="D51" s="336" t="str">
        <f>'Orça-SD'!D52</f>
        <v>tkm</v>
      </c>
      <c r="E51" s="337">
        <f>'Orça-SD'!E52</f>
        <v>577.64</v>
      </c>
      <c r="F51" s="338"/>
      <c r="G51" s="339">
        <f t="shared" si="0"/>
        <v>0</v>
      </c>
      <c r="I51" s="340"/>
    </row>
    <row r="52" spans="1:17" ht="30" x14ac:dyDescent="0.25">
      <c r="B52" s="334">
        <f>'Orça-SD'!B53</f>
        <v>5914614</v>
      </c>
      <c r="C52" s="335" t="str">
        <f>'Orça-SD'!C53</f>
        <v>Transporte com caminhão carroceria com capacidade de 7 t e com guindauto de 20 t.m - rodovia pavimentada</v>
      </c>
      <c r="D52" s="336" t="str">
        <f>'Orça-SD'!D53</f>
        <v>tkm</v>
      </c>
      <c r="E52" s="337">
        <f>'Orça-SD'!E53</f>
        <v>1824.0440000000001</v>
      </c>
      <c r="F52" s="338"/>
      <c r="G52" s="339">
        <f t="shared" si="0"/>
        <v>0</v>
      </c>
      <c r="I52" s="340"/>
    </row>
    <row r="53" spans="1:17" x14ac:dyDescent="0.25">
      <c r="B53" s="334">
        <f>'Orça-SD'!B54</f>
        <v>5914479</v>
      </c>
      <c r="C53" s="335" t="str">
        <f>'Orça-SD'!C54</f>
        <v>Transporte com caminhão carroceria de 15 t - rodovia pavimentada</v>
      </c>
      <c r="D53" s="336" t="str">
        <f>'Orça-SD'!D54</f>
        <v>tkm</v>
      </c>
      <c r="E53" s="337">
        <f>'Orça-SD'!E54</f>
        <v>1913.6591999999996</v>
      </c>
      <c r="F53" s="338"/>
      <c r="G53" s="339">
        <f t="shared" si="0"/>
        <v>0</v>
      </c>
      <c r="I53" s="340"/>
    </row>
    <row r="54" spans="1:17" x14ac:dyDescent="0.25">
      <c r="B54" s="334">
        <f>'Orça-SD'!B55</f>
        <v>5915324</v>
      </c>
      <c r="C54" s="335" t="str">
        <f>'Orça-SD'!C55</f>
        <v>Transporte com caminhão carroceria de 5 t - rodovia pavimentada</v>
      </c>
      <c r="D54" s="336" t="str">
        <f>'Orça-SD'!D55</f>
        <v>tkm</v>
      </c>
      <c r="E54" s="337">
        <f>'Orça-SD'!E55</f>
        <v>6.157</v>
      </c>
      <c r="F54" s="338"/>
      <c r="G54" s="339">
        <f t="shared" si="0"/>
        <v>0</v>
      </c>
      <c r="I54" s="340"/>
    </row>
    <row r="55" spans="1:17" x14ac:dyDescent="0.25">
      <c r="B55" s="348"/>
      <c r="C55" s="349"/>
      <c r="D55" s="350"/>
      <c r="E55" s="351"/>
      <c r="F55" s="352" t="s">
        <v>634</v>
      </c>
      <c r="G55" s="353">
        <f>SUM(G49:G54)</f>
        <v>0</v>
      </c>
      <c r="I55" s="340"/>
    </row>
    <row r="56" spans="1:17" s="323" customFormat="1" x14ac:dyDescent="0.25">
      <c r="B56" s="330">
        <f>'Orça-SD'!B57</f>
        <v>8</v>
      </c>
      <c r="C56" s="331" t="str">
        <f>'Orça-SD'!C57</f>
        <v>MOBILIZAÇÃO E DESMOBILIZAÇÃO, CANTEIRO E ADM. LOCAL</v>
      </c>
      <c r="D56" s="332"/>
      <c r="E56" s="331"/>
      <c r="F56" s="331"/>
      <c r="G56" s="333"/>
      <c r="I56" s="343"/>
      <c r="J56" s="344"/>
    </row>
    <row r="57" spans="1:17" x14ac:dyDescent="0.25">
      <c r="B57" s="334" t="str">
        <f>'Orça-SD'!B58</f>
        <v>MOB</v>
      </c>
      <c r="C57" s="335" t="str">
        <f>'Orça-SD'!C58</f>
        <v>Mobilização e Desmobilização</v>
      </c>
      <c r="D57" s="336" t="str">
        <f>'Orça-SD'!D58</f>
        <v>und</v>
      </c>
      <c r="E57" s="337">
        <f>'Orça-SD'!E58</f>
        <v>1</v>
      </c>
      <c r="F57" s="338"/>
      <c r="G57" s="339">
        <f t="shared" si="0"/>
        <v>0</v>
      </c>
      <c r="I57" s="340"/>
    </row>
    <row r="58" spans="1:17" x14ac:dyDescent="0.25">
      <c r="B58" s="334" t="str">
        <f>'Orça-SD'!B59</f>
        <v>INSTA</v>
      </c>
      <c r="C58" s="335" t="str">
        <f>'Orça-SD'!C59</f>
        <v>Instalação de Canteiro de Obra</v>
      </c>
      <c r="D58" s="336" t="str">
        <f>'Orça-SD'!D59</f>
        <v>und</v>
      </c>
      <c r="E58" s="337">
        <f>'Orça-SD'!E59</f>
        <v>1</v>
      </c>
      <c r="F58" s="338"/>
      <c r="G58" s="339">
        <f t="shared" si="0"/>
        <v>0</v>
      </c>
      <c r="I58" s="340"/>
    </row>
    <row r="59" spans="1:17" s="329" customFormat="1" x14ac:dyDescent="0.25">
      <c r="A59" s="323"/>
      <c r="B59" s="334" t="str">
        <f>'Orça-SD'!B60</f>
        <v>ADM</v>
      </c>
      <c r="C59" s="335" t="str">
        <f>'Orça-SD'!C60</f>
        <v>Administração Local</v>
      </c>
      <c r="D59" s="336" t="str">
        <f>'Orça-SD'!D60</f>
        <v>mês</v>
      </c>
      <c r="E59" s="337">
        <f>'Orça-SD'!E60</f>
        <v>30</v>
      </c>
      <c r="F59" s="338"/>
      <c r="G59" s="339">
        <f t="shared" si="0"/>
        <v>0</v>
      </c>
      <c r="H59" s="323"/>
      <c r="I59" s="340"/>
      <c r="K59" s="326"/>
      <c r="L59" s="326"/>
      <c r="M59" s="326"/>
      <c r="N59" s="326"/>
      <c r="O59" s="326"/>
      <c r="P59" s="326"/>
      <c r="Q59" s="326"/>
    </row>
    <row r="60" spans="1:17" s="329" customFormat="1" x14ac:dyDescent="0.25">
      <c r="A60" s="323"/>
      <c r="B60" s="348"/>
      <c r="C60" s="349"/>
      <c r="D60" s="350"/>
      <c r="E60" s="351"/>
      <c r="F60" s="352" t="s">
        <v>635</v>
      </c>
      <c r="G60" s="353">
        <f>SUM(G57:G59)</f>
        <v>0</v>
      </c>
      <c r="H60" s="323"/>
      <c r="I60" s="340"/>
      <c r="K60" s="326"/>
      <c r="L60" s="326"/>
      <c r="M60" s="326"/>
      <c r="N60" s="326"/>
      <c r="O60" s="326"/>
      <c r="P60" s="326"/>
      <c r="Q60" s="326"/>
    </row>
    <row r="61" spans="1:17" s="344" customFormat="1" ht="9.9499999999999993" customHeight="1" x14ac:dyDescent="0.25">
      <c r="A61" s="323"/>
      <c r="B61" s="323"/>
      <c r="C61" s="323"/>
      <c r="D61" s="323"/>
      <c r="E61" s="323"/>
      <c r="F61" s="323"/>
      <c r="G61" s="323"/>
      <c r="H61" s="323"/>
      <c r="I61" s="354"/>
      <c r="K61" s="323"/>
      <c r="L61" s="323"/>
      <c r="M61" s="323"/>
      <c r="N61" s="323"/>
      <c r="O61" s="323"/>
      <c r="P61" s="323"/>
      <c r="Q61" s="323"/>
    </row>
    <row r="62" spans="1:17" s="329" customFormat="1" x14ac:dyDescent="0.25">
      <c r="A62" s="323"/>
      <c r="B62" s="355"/>
      <c r="C62" s="356"/>
      <c r="D62" s="356"/>
      <c r="E62" s="356"/>
      <c r="F62" s="357" t="s">
        <v>30</v>
      </c>
      <c r="G62" s="358">
        <f>G56+G48+G40+G30+G26+G21+G10</f>
        <v>0</v>
      </c>
      <c r="H62" s="323"/>
      <c r="I62" s="326"/>
      <c r="K62" s="326"/>
      <c r="L62" s="326"/>
      <c r="M62" s="326"/>
      <c r="N62" s="326"/>
      <c r="O62" s="326"/>
      <c r="P62" s="326"/>
      <c r="Q62" s="326"/>
    </row>
    <row r="63" spans="1:17" s="323" customFormat="1" ht="9.9499999999999993" customHeight="1" x14ac:dyDescent="0.25">
      <c r="J63" s="344"/>
    </row>
    <row r="64" spans="1:17" s="329" customFormat="1" x14ac:dyDescent="0.25">
      <c r="A64" s="323"/>
      <c r="B64" s="326"/>
      <c r="C64" s="326"/>
      <c r="D64" s="326"/>
      <c r="E64" s="326"/>
      <c r="F64" s="326"/>
      <c r="G64" s="359"/>
      <c r="H64" s="360"/>
      <c r="I64" s="326"/>
      <c r="K64" s="326"/>
      <c r="L64" s="326"/>
      <c r="M64" s="326"/>
      <c r="N64" s="326"/>
      <c r="O64" s="326"/>
      <c r="P64" s="326"/>
      <c r="Q64" s="326"/>
    </row>
  </sheetData>
  <mergeCells count="1">
    <mergeCell ref="B2:G2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95" fitToHeight="0" orientation="landscape" r:id="rId1"/>
  <rowBreaks count="2" manualBreakCount="2">
    <brk id="30" max="7" man="1"/>
    <brk id="5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14"/>
  <sheetViews>
    <sheetView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0.85546875" style="361" customWidth="1"/>
    <col min="2" max="2" width="5.7109375" style="361" bestFit="1" customWidth="1"/>
    <col min="3" max="3" width="19.28515625" style="361" bestFit="1" customWidth="1"/>
    <col min="4" max="15" width="5.140625" style="361" bestFit="1" customWidth="1"/>
    <col min="16" max="17" width="4.7109375" style="361" bestFit="1" customWidth="1"/>
    <col min="18" max="19" width="5.140625" style="361" bestFit="1" customWidth="1"/>
    <col min="20" max="24" width="4.7109375" style="361" bestFit="1" customWidth="1"/>
    <col min="25" max="26" width="5.140625" style="361" bestFit="1" customWidth="1"/>
    <col min="27" max="30" width="4.7109375" style="361" bestFit="1" customWidth="1"/>
    <col min="31" max="33" width="5.140625" style="361" bestFit="1" customWidth="1"/>
    <col min="34" max="34" width="6.28515625" style="361" bestFit="1" customWidth="1"/>
    <col min="35" max="35" width="0.85546875" style="361" customWidth="1"/>
    <col min="36" max="16384" width="9.140625" style="361"/>
  </cols>
  <sheetData>
    <row r="1" spans="2:34" ht="5.0999999999999996" customHeight="1" x14ac:dyDescent="0.25"/>
    <row r="2" spans="2:34" x14ac:dyDescent="0.25">
      <c r="B2" s="755" t="s">
        <v>574</v>
      </c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5"/>
      <c r="AA2" s="755"/>
      <c r="AB2" s="755"/>
      <c r="AC2" s="755"/>
      <c r="AD2" s="755"/>
      <c r="AE2" s="755"/>
      <c r="AF2" s="755"/>
      <c r="AG2" s="755"/>
      <c r="AH2" s="755"/>
    </row>
    <row r="3" spans="2:34" x14ac:dyDescent="0.25">
      <c r="B3" s="755" t="str">
        <f>Dados!B1&amp;" - "&amp;Dados!B2&amp;" - "&amp;Dados!B3</f>
        <v>BR-285/RS - km 446,200 ao km 448,600 - LD</v>
      </c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  <c r="T3" s="755"/>
      <c r="U3" s="755"/>
      <c r="V3" s="755"/>
      <c r="W3" s="755"/>
      <c r="X3" s="755"/>
      <c r="Y3" s="755"/>
      <c r="Z3" s="755"/>
      <c r="AA3" s="755"/>
      <c r="AB3" s="755"/>
      <c r="AC3" s="755"/>
      <c r="AD3" s="755"/>
      <c r="AE3" s="755"/>
      <c r="AF3" s="755"/>
      <c r="AG3" s="755"/>
      <c r="AH3" s="755"/>
    </row>
    <row r="4" spans="2:34" x14ac:dyDescent="0.25">
      <c r="B4" s="757" t="s">
        <v>215</v>
      </c>
      <c r="C4" s="757" t="s">
        <v>10</v>
      </c>
      <c r="D4" s="756" t="s">
        <v>244</v>
      </c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756"/>
      <c r="AB4" s="756"/>
      <c r="AC4" s="756"/>
      <c r="AD4" s="756"/>
      <c r="AE4" s="756"/>
      <c r="AF4" s="756"/>
      <c r="AG4" s="756"/>
      <c r="AH4" s="756"/>
    </row>
    <row r="5" spans="2:34" x14ac:dyDescent="0.25">
      <c r="B5" s="758"/>
      <c r="C5" s="758"/>
      <c r="D5" s="362" t="s">
        <v>238</v>
      </c>
      <c r="E5" s="362" t="s">
        <v>239</v>
      </c>
      <c r="F5" s="362" t="s">
        <v>240</v>
      </c>
      <c r="G5" s="362" t="s">
        <v>241</v>
      </c>
      <c r="H5" s="362" t="s">
        <v>242</v>
      </c>
      <c r="I5" s="362" t="s">
        <v>243</v>
      </c>
      <c r="J5" s="362" t="s">
        <v>443</v>
      </c>
      <c r="K5" s="362" t="s">
        <v>444</v>
      </c>
      <c r="L5" s="362" t="s">
        <v>445</v>
      </c>
      <c r="M5" s="362" t="s">
        <v>446</v>
      </c>
      <c r="N5" s="362" t="s">
        <v>447</v>
      </c>
      <c r="O5" s="362" t="s">
        <v>448</v>
      </c>
      <c r="P5" s="362" t="s">
        <v>451</v>
      </c>
      <c r="Q5" s="362" t="s">
        <v>452</v>
      </c>
      <c r="R5" s="362" t="s">
        <v>453</v>
      </c>
      <c r="S5" s="362" t="s">
        <v>454</v>
      </c>
      <c r="T5" s="362" t="s">
        <v>455</v>
      </c>
      <c r="U5" s="362" t="s">
        <v>456</v>
      </c>
      <c r="V5" s="362" t="s">
        <v>465</v>
      </c>
      <c r="W5" s="362" t="s">
        <v>466</v>
      </c>
      <c r="X5" s="362" t="s">
        <v>467</v>
      </c>
      <c r="Y5" s="362" t="s">
        <v>468</v>
      </c>
      <c r="Z5" s="362" t="s">
        <v>469</v>
      </c>
      <c r="AA5" s="362" t="s">
        <v>470</v>
      </c>
      <c r="AB5" s="362" t="s">
        <v>471</v>
      </c>
      <c r="AC5" s="362" t="s">
        <v>472</v>
      </c>
      <c r="AD5" s="362" t="s">
        <v>473</v>
      </c>
      <c r="AE5" s="362" t="s">
        <v>474</v>
      </c>
      <c r="AF5" s="362" t="s">
        <v>475</v>
      </c>
      <c r="AG5" s="362" t="s">
        <v>476</v>
      </c>
      <c r="AH5" s="362" t="s">
        <v>247</v>
      </c>
    </row>
    <row r="6" spans="2:34" ht="30" customHeight="1" x14ac:dyDescent="0.25">
      <c r="B6" s="363">
        <v>1</v>
      </c>
      <c r="C6" s="364" t="s">
        <v>316</v>
      </c>
      <c r="D6" s="365">
        <v>0.5</v>
      </c>
      <c r="E6" s="365">
        <v>0.5</v>
      </c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7">
        <f>SUM(D6:AG6)</f>
        <v>1</v>
      </c>
    </row>
    <row r="7" spans="2:34" ht="30" customHeight="1" x14ac:dyDescent="0.25">
      <c r="B7" s="363">
        <v>2</v>
      </c>
      <c r="C7" s="364" t="s">
        <v>216</v>
      </c>
      <c r="D7" s="365">
        <v>0.1</v>
      </c>
      <c r="E7" s="365">
        <v>0.25</v>
      </c>
      <c r="F7" s="365">
        <v>0.25</v>
      </c>
      <c r="G7" s="365">
        <v>0.25</v>
      </c>
      <c r="H7" s="365">
        <v>0.15</v>
      </c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7">
        <f t="shared" ref="AH7:AH13" si="0">SUM(D7:AG7)</f>
        <v>1</v>
      </c>
    </row>
    <row r="8" spans="2:34" ht="30" customHeight="1" x14ac:dyDescent="0.25">
      <c r="B8" s="363">
        <v>3</v>
      </c>
      <c r="C8" s="364" t="s">
        <v>217</v>
      </c>
      <c r="D8" s="366"/>
      <c r="E8" s="365">
        <v>0.05</v>
      </c>
      <c r="F8" s="365">
        <v>0.05</v>
      </c>
      <c r="G8" s="365">
        <v>0.05</v>
      </c>
      <c r="H8" s="365">
        <v>0.05</v>
      </c>
      <c r="I8" s="365">
        <v>0.05</v>
      </c>
      <c r="J8" s="365">
        <v>0.05</v>
      </c>
      <c r="K8" s="365">
        <v>0.05</v>
      </c>
      <c r="L8" s="365">
        <v>0.05</v>
      </c>
      <c r="M8" s="365">
        <v>0.05</v>
      </c>
      <c r="N8" s="365">
        <v>0.05</v>
      </c>
      <c r="O8" s="365">
        <v>0.05</v>
      </c>
      <c r="P8" s="365">
        <v>0.05</v>
      </c>
      <c r="Q8" s="365">
        <v>0.05</v>
      </c>
      <c r="R8" s="365">
        <v>0.05</v>
      </c>
      <c r="S8" s="365">
        <v>0.05</v>
      </c>
      <c r="T8" s="365">
        <v>0.05</v>
      </c>
      <c r="U8" s="365">
        <v>0.05</v>
      </c>
      <c r="V8" s="365">
        <v>0.05</v>
      </c>
      <c r="W8" s="365">
        <v>0.05</v>
      </c>
      <c r="X8" s="365">
        <v>0.05</v>
      </c>
      <c r="Y8" s="366"/>
      <c r="Z8" s="366"/>
      <c r="AA8" s="366"/>
      <c r="AB8" s="366"/>
      <c r="AC8" s="366"/>
      <c r="AD8" s="366"/>
      <c r="AE8" s="366"/>
      <c r="AF8" s="366"/>
      <c r="AG8" s="366"/>
      <c r="AH8" s="367">
        <f t="shared" si="0"/>
        <v>1.0000000000000002</v>
      </c>
    </row>
    <row r="9" spans="2:34" ht="30" customHeight="1" x14ac:dyDescent="0.25">
      <c r="B9" s="363">
        <v>4</v>
      </c>
      <c r="C9" s="364" t="s">
        <v>218</v>
      </c>
      <c r="D9" s="366"/>
      <c r="E9" s="366"/>
      <c r="F9" s="366"/>
      <c r="G9" s="365">
        <v>0.05</v>
      </c>
      <c r="H9" s="365">
        <v>0.05</v>
      </c>
      <c r="I9" s="365">
        <v>0.05</v>
      </c>
      <c r="J9" s="365">
        <v>0.05</v>
      </c>
      <c r="K9" s="365">
        <v>0.05</v>
      </c>
      <c r="L9" s="365">
        <v>0.05</v>
      </c>
      <c r="M9" s="365">
        <v>0.05</v>
      </c>
      <c r="N9" s="365">
        <v>0.05</v>
      </c>
      <c r="O9" s="365">
        <v>0.05</v>
      </c>
      <c r="P9" s="365">
        <v>0.05</v>
      </c>
      <c r="Q9" s="365">
        <v>0.05</v>
      </c>
      <c r="R9" s="365">
        <v>0.05</v>
      </c>
      <c r="S9" s="365">
        <v>0.05</v>
      </c>
      <c r="T9" s="365">
        <v>0.05</v>
      </c>
      <c r="U9" s="365">
        <v>0.05</v>
      </c>
      <c r="V9" s="365">
        <v>0.05</v>
      </c>
      <c r="W9" s="365">
        <v>0.05</v>
      </c>
      <c r="X9" s="365">
        <v>0.05</v>
      </c>
      <c r="Y9" s="365">
        <v>0.05</v>
      </c>
      <c r="Z9" s="365">
        <v>0.05</v>
      </c>
      <c r="AA9" s="366"/>
      <c r="AB9" s="366"/>
      <c r="AC9" s="366"/>
      <c r="AD9" s="366"/>
      <c r="AE9" s="366"/>
      <c r="AF9" s="366"/>
      <c r="AG9" s="366"/>
      <c r="AH9" s="367">
        <f t="shared" si="0"/>
        <v>1.0000000000000002</v>
      </c>
    </row>
    <row r="10" spans="2:34" ht="30" customHeight="1" x14ac:dyDescent="0.25">
      <c r="B10" s="363">
        <v>5</v>
      </c>
      <c r="C10" s="364" t="s">
        <v>321</v>
      </c>
      <c r="D10" s="366"/>
      <c r="E10" s="366"/>
      <c r="F10" s="366"/>
      <c r="G10" s="366"/>
      <c r="H10" s="366"/>
      <c r="I10" s="366"/>
      <c r="J10" s="365">
        <v>0.05</v>
      </c>
      <c r="K10" s="365">
        <v>0.1</v>
      </c>
      <c r="L10" s="365">
        <v>0.1</v>
      </c>
      <c r="M10" s="365">
        <v>0.1</v>
      </c>
      <c r="N10" s="365">
        <v>0.1</v>
      </c>
      <c r="O10" s="365">
        <v>0.05</v>
      </c>
      <c r="P10" s="366"/>
      <c r="Q10" s="366"/>
      <c r="R10" s="366"/>
      <c r="S10" s="366"/>
      <c r="T10" s="366"/>
      <c r="U10" s="366"/>
      <c r="V10" s="366"/>
      <c r="W10" s="365">
        <v>0.05</v>
      </c>
      <c r="X10" s="365">
        <v>0.05</v>
      </c>
      <c r="Y10" s="365">
        <v>0.05</v>
      </c>
      <c r="Z10" s="365">
        <v>0.05</v>
      </c>
      <c r="AA10" s="365">
        <v>0.05</v>
      </c>
      <c r="AB10" s="365">
        <v>0.05</v>
      </c>
      <c r="AC10" s="365">
        <v>0.05</v>
      </c>
      <c r="AD10" s="365">
        <v>0.05</v>
      </c>
      <c r="AE10" s="365">
        <v>0.05</v>
      </c>
      <c r="AF10" s="365">
        <v>0.05</v>
      </c>
      <c r="AG10" s="366"/>
      <c r="AH10" s="367">
        <f t="shared" si="0"/>
        <v>1.0000000000000002</v>
      </c>
    </row>
    <row r="11" spans="2:34" ht="30" customHeight="1" x14ac:dyDescent="0.25">
      <c r="B11" s="363">
        <v>6</v>
      </c>
      <c r="C11" s="364" t="s">
        <v>219</v>
      </c>
      <c r="D11" s="366"/>
      <c r="E11" s="366"/>
      <c r="F11" s="366"/>
      <c r="G11" s="366"/>
      <c r="H11" s="366"/>
      <c r="I11" s="365">
        <v>0.1</v>
      </c>
      <c r="J11" s="365">
        <v>0.1</v>
      </c>
      <c r="K11" s="366"/>
      <c r="L11" s="366"/>
      <c r="M11" s="365">
        <v>0.1</v>
      </c>
      <c r="N11" s="365">
        <v>0.1</v>
      </c>
      <c r="O11" s="366"/>
      <c r="P11" s="366"/>
      <c r="Q11" s="366"/>
      <c r="R11" s="365">
        <v>0.1</v>
      </c>
      <c r="S11" s="365">
        <v>0.1</v>
      </c>
      <c r="T11" s="366"/>
      <c r="U11" s="366"/>
      <c r="V11" s="366"/>
      <c r="W11" s="366"/>
      <c r="X11" s="366"/>
      <c r="Y11" s="365">
        <v>0.1</v>
      </c>
      <c r="Z11" s="365">
        <v>0.1</v>
      </c>
      <c r="AA11" s="366"/>
      <c r="AB11" s="366"/>
      <c r="AC11" s="366"/>
      <c r="AD11" s="366"/>
      <c r="AE11" s="365">
        <v>0.1</v>
      </c>
      <c r="AF11" s="365">
        <v>0.05</v>
      </c>
      <c r="AG11" s="365">
        <v>0.05</v>
      </c>
      <c r="AH11" s="367">
        <f t="shared" si="0"/>
        <v>1</v>
      </c>
    </row>
    <row r="12" spans="2:34" ht="30" customHeight="1" x14ac:dyDescent="0.25">
      <c r="B12" s="363">
        <v>7</v>
      </c>
      <c r="C12" s="364" t="s">
        <v>246</v>
      </c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5">
        <v>0.25</v>
      </c>
      <c r="O12" s="365">
        <v>0.25</v>
      </c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5">
        <v>0.25</v>
      </c>
      <c r="AF12" s="365">
        <v>0.25</v>
      </c>
      <c r="AG12" s="366"/>
      <c r="AH12" s="367">
        <f t="shared" si="0"/>
        <v>1</v>
      </c>
    </row>
    <row r="13" spans="2:34" ht="30" customHeight="1" x14ac:dyDescent="0.25">
      <c r="B13" s="363">
        <v>8</v>
      </c>
      <c r="C13" s="364" t="s">
        <v>231</v>
      </c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5">
        <v>0.5</v>
      </c>
      <c r="AG13" s="365">
        <v>0.5</v>
      </c>
      <c r="AH13" s="367">
        <f t="shared" si="0"/>
        <v>1</v>
      </c>
    </row>
    <row r="14" spans="2:34" ht="5.0999999999999996" customHeight="1" x14ac:dyDescent="0.25"/>
  </sheetData>
  <mergeCells count="5">
    <mergeCell ref="B2:AH2"/>
    <mergeCell ref="B3:AH3"/>
    <mergeCell ref="D4:AH4"/>
    <mergeCell ref="B4:B5"/>
    <mergeCell ref="C4:C5"/>
  </mergeCells>
  <phoneticPr fontId="17" type="noConversion"/>
  <printOptions horizontalCentered="1"/>
  <pageMargins left="0.59055118110236227" right="0.39370078740157483" top="0.59055118110236227" bottom="0.59055118110236227" header="0.19685039370078741" footer="0.19685039370078741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39"/>
  <sheetViews>
    <sheetView view="pageBreakPreview" zoomScaleNormal="100" zoomScaleSheetLayoutView="100" workbookViewId="0">
      <pane ySplit="3" topLeftCell="A69" activePane="bottomLeft" state="frozen"/>
      <selection activeCell="C7" sqref="C7"/>
      <selection pane="bottomLeft" activeCell="C71" sqref="C71"/>
    </sheetView>
  </sheetViews>
  <sheetFormatPr defaultRowHeight="15" x14ac:dyDescent="0.25"/>
  <cols>
    <col min="1" max="1" width="0.85546875" style="622" customWidth="1"/>
    <col min="2" max="2" width="9.5703125" style="361" bestFit="1" customWidth="1"/>
    <col min="3" max="3" width="62.42578125" style="361" customWidth="1"/>
    <col min="4" max="4" width="11.42578125" style="361" bestFit="1" customWidth="1"/>
    <col min="5" max="5" width="12.140625" style="361" bestFit="1" customWidth="1"/>
    <col min="6" max="6" width="6" style="361" bestFit="1" customWidth="1"/>
    <col min="7" max="7" width="12.42578125" style="361" bestFit="1" customWidth="1"/>
    <col min="8" max="8" width="5.85546875" style="361" bestFit="1" customWidth="1"/>
    <col min="9" max="9" width="12.140625" style="361" bestFit="1" customWidth="1"/>
    <col min="10" max="10" width="7.7109375" style="361" customWidth="1"/>
    <col min="11" max="11" width="13.140625" style="361" bestFit="1" customWidth="1"/>
    <col min="12" max="12" width="0.85546875" style="622" customWidth="1"/>
    <col min="13" max="16384" width="9.140625" style="361"/>
  </cols>
  <sheetData>
    <row r="1" spans="2:12" ht="5.0999999999999996" customHeight="1" thickBot="1" x14ac:dyDescent="0.3"/>
    <row r="2" spans="2:12" ht="16.5" thickTop="1" thickBot="1" x14ac:dyDescent="0.3">
      <c r="B2" s="765" t="s">
        <v>73</v>
      </c>
      <c r="C2" s="766"/>
      <c r="D2" s="766"/>
      <c r="E2" s="766"/>
      <c r="F2" s="766"/>
      <c r="G2" s="766"/>
      <c r="H2" s="766"/>
      <c r="I2" s="766"/>
      <c r="J2" s="766"/>
      <c r="K2" s="767"/>
      <c r="L2" s="639"/>
    </row>
    <row r="3" spans="2:12" ht="43.5" thickTop="1" x14ac:dyDescent="0.25">
      <c r="B3" s="530" t="s">
        <v>74</v>
      </c>
      <c r="C3" s="531" t="s">
        <v>75</v>
      </c>
      <c r="D3" s="531" t="s">
        <v>76</v>
      </c>
      <c r="E3" s="532" t="s">
        <v>324</v>
      </c>
      <c r="F3" s="531" t="s">
        <v>77</v>
      </c>
      <c r="G3" s="533" t="s">
        <v>576</v>
      </c>
      <c r="H3" s="531" t="s">
        <v>77</v>
      </c>
      <c r="I3" s="532" t="s">
        <v>577</v>
      </c>
      <c r="J3" s="534" t="s">
        <v>78</v>
      </c>
      <c r="K3" s="535" t="s">
        <v>578</v>
      </c>
      <c r="L3" s="640"/>
    </row>
    <row r="4" spans="2:12" x14ac:dyDescent="0.25">
      <c r="B4" s="762" t="str">
        <f>'Orça-SD'!C12</f>
        <v>PAVIMENTAÇÃO</v>
      </c>
      <c r="C4" s="763"/>
      <c r="D4" s="763"/>
      <c r="E4" s="763"/>
      <c r="F4" s="763"/>
      <c r="G4" s="763"/>
      <c r="H4" s="763"/>
      <c r="I4" s="763"/>
      <c r="J4" s="763"/>
      <c r="K4" s="764"/>
      <c r="L4" s="641"/>
    </row>
    <row r="5" spans="2:12" ht="30" x14ac:dyDescent="0.25">
      <c r="B5" s="536">
        <v>4011466</v>
      </c>
      <c r="C5" s="537" t="s">
        <v>199</v>
      </c>
      <c r="D5" s="538"/>
      <c r="E5" s="539">
        <f>VLOOKUP(B5,'Orça-SD'!$B$6:$I$56,4,FALSE)</f>
        <v>285.38926799999996</v>
      </c>
      <c r="F5" s="540" t="s">
        <v>23</v>
      </c>
      <c r="G5" s="541"/>
      <c r="H5" s="542"/>
      <c r="I5" s="543"/>
      <c r="J5" s="544"/>
      <c r="K5" s="545"/>
      <c r="L5" s="642"/>
    </row>
    <row r="6" spans="2:12" x14ac:dyDescent="0.25">
      <c r="B6" s="546">
        <v>6416078</v>
      </c>
      <c r="C6" s="547" t="s">
        <v>99</v>
      </c>
      <c r="D6" s="548">
        <v>5914389</v>
      </c>
      <c r="E6" s="549"/>
      <c r="F6" s="550"/>
      <c r="G6" s="551">
        <v>1.02</v>
      </c>
      <c r="H6" s="552" t="str">
        <f>CONCATENATE("t / ",F5)</f>
        <v>t / t</v>
      </c>
      <c r="I6" s="553">
        <f>TRUNC(E5*G6,3)</f>
        <v>291.09699999999998</v>
      </c>
      <c r="J6" s="554">
        <v>14.2</v>
      </c>
      <c r="K6" s="555">
        <f>I6*J6</f>
        <v>4133.5773999999992</v>
      </c>
      <c r="L6" s="643"/>
    </row>
    <row r="7" spans="2:12" ht="30" x14ac:dyDescent="0.25">
      <c r="B7" s="556">
        <v>6416078</v>
      </c>
      <c r="C7" s="557" t="s">
        <v>99</v>
      </c>
      <c r="D7" s="558"/>
      <c r="E7" s="559">
        <f>TRUNC(E5*G7,3)</f>
        <v>291.09699999999998</v>
      </c>
      <c r="F7" s="560" t="s">
        <v>23</v>
      </c>
      <c r="G7" s="561">
        <v>1.02</v>
      </c>
      <c r="H7" s="562"/>
      <c r="I7" s="559"/>
      <c r="J7" s="563"/>
      <c r="K7" s="564"/>
      <c r="L7" s="642"/>
    </row>
    <row r="8" spans="2:12" x14ac:dyDescent="0.25">
      <c r="B8" s="565" t="s">
        <v>92</v>
      </c>
      <c r="C8" s="547" t="s">
        <v>102</v>
      </c>
      <c r="D8" s="548">
        <v>5914389</v>
      </c>
      <c r="E8" s="549"/>
      <c r="F8" s="550"/>
      <c r="G8" s="566">
        <v>0.56471000000000005</v>
      </c>
      <c r="H8" s="567" t="str">
        <f>CONCATENATE("t / ",$F$7)</f>
        <v>t / t</v>
      </c>
      <c r="I8" s="568">
        <f>TRUNC($E$7*G8,3)</f>
        <v>164.38499999999999</v>
      </c>
      <c r="J8" s="569">
        <v>2.7</v>
      </c>
      <c r="K8" s="555">
        <f>I8*J8</f>
        <v>443.83949999999999</v>
      </c>
      <c r="L8" s="643"/>
    </row>
    <row r="9" spans="2:12" x14ac:dyDescent="0.25">
      <c r="B9" s="565" t="s">
        <v>86</v>
      </c>
      <c r="C9" s="547" t="s">
        <v>103</v>
      </c>
      <c r="D9" s="548">
        <v>5914389</v>
      </c>
      <c r="E9" s="549"/>
      <c r="F9" s="550"/>
      <c r="G9" s="566">
        <v>4.7059999999999998E-2</v>
      </c>
      <c r="H9" s="567" t="str">
        <f t="shared" ref="H9:H12" si="0">CONCATENATE("t / ",$F$7)</f>
        <v>t / t</v>
      </c>
      <c r="I9" s="568">
        <f t="shared" ref="I9:I12" si="1">TRUNC($E$7*G9,3)</f>
        <v>13.699</v>
      </c>
      <c r="J9" s="569">
        <v>0.5</v>
      </c>
      <c r="K9" s="555">
        <f t="shared" ref="K9:K12" si="2">I9*J9</f>
        <v>6.8494999999999999</v>
      </c>
      <c r="L9" s="643"/>
    </row>
    <row r="10" spans="2:12" x14ac:dyDescent="0.25">
      <c r="B10" s="565" t="s">
        <v>82</v>
      </c>
      <c r="C10" s="547" t="s">
        <v>104</v>
      </c>
      <c r="D10" s="548">
        <v>5914389</v>
      </c>
      <c r="E10" s="549"/>
      <c r="F10" s="570"/>
      <c r="G10" s="566">
        <v>7.059E-2</v>
      </c>
      <c r="H10" s="567" t="str">
        <f t="shared" si="0"/>
        <v>t / t</v>
      </c>
      <c r="I10" s="568">
        <f t="shared" si="1"/>
        <v>20.547999999999998</v>
      </c>
      <c r="J10" s="569">
        <v>0.5</v>
      </c>
      <c r="K10" s="555">
        <f t="shared" si="2"/>
        <v>10.273999999999999</v>
      </c>
      <c r="L10" s="643"/>
    </row>
    <row r="11" spans="2:12" x14ac:dyDescent="0.25">
      <c r="B11" s="565" t="s">
        <v>100</v>
      </c>
      <c r="C11" s="547" t="s">
        <v>101</v>
      </c>
      <c r="D11" s="548">
        <v>5914366</v>
      </c>
      <c r="E11" s="549"/>
      <c r="F11" s="570"/>
      <c r="G11" s="566">
        <v>7.0580000000000004E-2</v>
      </c>
      <c r="H11" s="567" t="str">
        <f t="shared" si="0"/>
        <v>t / t</v>
      </c>
      <c r="I11" s="568">
        <f t="shared" si="1"/>
        <v>20.545000000000002</v>
      </c>
      <c r="J11" s="569">
        <v>2.7</v>
      </c>
      <c r="K11" s="555">
        <f t="shared" si="2"/>
        <v>55.471500000000006</v>
      </c>
      <c r="L11" s="643"/>
    </row>
    <row r="12" spans="2:12" x14ac:dyDescent="0.25">
      <c r="B12" s="571" t="s">
        <v>81</v>
      </c>
      <c r="C12" s="547" t="s">
        <v>105</v>
      </c>
      <c r="D12" s="572">
        <v>5914389</v>
      </c>
      <c r="E12" s="573"/>
      <c r="F12" s="574"/>
      <c r="G12" s="575">
        <v>0.18823999999999999</v>
      </c>
      <c r="H12" s="567" t="str">
        <f t="shared" si="0"/>
        <v>t / t</v>
      </c>
      <c r="I12" s="568">
        <f t="shared" si="1"/>
        <v>54.795999999999999</v>
      </c>
      <c r="J12" s="576">
        <v>0.5</v>
      </c>
      <c r="K12" s="555">
        <f t="shared" si="2"/>
        <v>27.398</v>
      </c>
      <c r="L12" s="643"/>
    </row>
    <row r="13" spans="2:12" x14ac:dyDescent="0.25">
      <c r="B13" s="536">
        <v>4011276</v>
      </c>
      <c r="C13" s="537" t="s">
        <v>25</v>
      </c>
      <c r="D13" s="538"/>
      <c r="E13" s="539">
        <f>VLOOKUP(B13,'Orça-SD'!$B$6:$I$56,4,FALSE)</f>
        <v>466.18938000000003</v>
      </c>
      <c r="F13" s="540" t="s">
        <v>2</v>
      </c>
      <c r="G13" s="541"/>
      <c r="H13" s="577"/>
      <c r="I13" s="578"/>
      <c r="J13" s="544"/>
      <c r="K13" s="545"/>
      <c r="L13" s="642"/>
    </row>
    <row r="14" spans="2:12" x14ac:dyDescent="0.25">
      <c r="B14" s="546">
        <v>6416040</v>
      </c>
      <c r="C14" s="547" t="s">
        <v>106</v>
      </c>
      <c r="D14" s="548">
        <v>5914389</v>
      </c>
      <c r="E14" s="549"/>
      <c r="F14" s="550"/>
      <c r="G14" s="551">
        <v>2.2000000000000002</v>
      </c>
      <c r="H14" s="552" t="str">
        <f>CONCATENATE("t / ",F13)</f>
        <v>t / m³</v>
      </c>
      <c r="I14" s="553">
        <f>TRUNC(E13*G14,3)</f>
        <v>1025.616</v>
      </c>
      <c r="J14" s="554">
        <v>14.2</v>
      </c>
      <c r="K14" s="555">
        <f>I14*J14</f>
        <v>14563.7472</v>
      </c>
      <c r="L14" s="643"/>
    </row>
    <row r="15" spans="2:12" ht="30" x14ac:dyDescent="0.25">
      <c r="B15" s="556">
        <v>6416040</v>
      </c>
      <c r="C15" s="557" t="s">
        <v>106</v>
      </c>
      <c r="D15" s="558"/>
      <c r="E15" s="559">
        <f>TRUNC(E13*G15,3)</f>
        <v>1025.616</v>
      </c>
      <c r="F15" s="560" t="s">
        <v>2</v>
      </c>
      <c r="G15" s="561">
        <v>2.2000000000000002</v>
      </c>
      <c r="H15" s="562"/>
      <c r="I15" s="559"/>
      <c r="J15" s="563"/>
      <c r="K15" s="564"/>
      <c r="L15" s="642"/>
    </row>
    <row r="16" spans="2:12" x14ac:dyDescent="0.25">
      <c r="B16" s="565" t="s">
        <v>86</v>
      </c>
      <c r="C16" s="547" t="s">
        <v>103</v>
      </c>
      <c r="D16" s="548">
        <v>5914389</v>
      </c>
      <c r="E16" s="549"/>
      <c r="F16" s="550"/>
      <c r="G16" s="566">
        <v>0.79613999999999996</v>
      </c>
      <c r="H16" s="567" t="str">
        <f>CONCATENATE("t / ",$F$15)</f>
        <v>t / m³</v>
      </c>
      <c r="I16" s="568">
        <f>TRUNC($E$15*G16,3)</f>
        <v>816.53300000000002</v>
      </c>
      <c r="J16" s="554">
        <v>0.5</v>
      </c>
      <c r="K16" s="555">
        <f>I16*J16</f>
        <v>408.26650000000001</v>
      </c>
      <c r="L16" s="643"/>
    </row>
    <row r="17" spans="2:12" x14ac:dyDescent="0.25">
      <c r="B17" s="565" t="s">
        <v>82</v>
      </c>
      <c r="C17" s="547" t="s">
        <v>104</v>
      </c>
      <c r="D17" s="548">
        <v>5914389</v>
      </c>
      <c r="E17" s="549"/>
      <c r="F17" s="550"/>
      <c r="G17" s="566">
        <v>0.2205</v>
      </c>
      <c r="H17" s="567" t="str">
        <f t="shared" ref="H17:H19" si="3">CONCATENATE("t / ",$F$15)</f>
        <v>t / m³</v>
      </c>
      <c r="I17" s="568">
        <f t="shared" ref="I17:I19" si="4">TRUNC($E$15*G17,3)</f>
        <v>226.148</v>
      </c>
      <c r="J17" s="554">
        <v>0.5</v>
      </c>
      <c r="K17" s="555">
        <f>I17*J17</f>
        <v>113.074</v>
      </c>
      <c r="L17" s="643"/>
    </row>
    <row r="18" spans="2:12" x14ac:dyDescent="0.25">
      <c r="B18" s="565" t="s">
        <v>84</v>
      </c>
      <c r="C18" s="547" t="s">
        <v>107</v>
      </c>
      <c r="D18" s="548">
        <v>5914389</v>
      </c>
      <c r="E18" s="549"/>
      <c r="F18" s="550"/>
      <c r="G18" s="566">
        <v>0.39090000000000003</v>
      </c>
      <c r="H18" s="567" t="str">
        <f t="shared" si="3"/>
        <v>t / m³</v>
      </c>
      <c r="I18" s="568">
        <f>TRUNC($E$15*G18,3)</f>
        <v>400.91300000000001</v>
      </c>
      <c r="J18" s="554">
        <v>0.5</v>
      </c>
      <c r="K18" s="555">
        <f>I18*J18</f>
        <v>200.45650000000001</v>
      </c>
      <c r="L18" s="643"/>
    </row>
    <row r="19" spans="2:12" x14ac:dyDescent="0.25">
      <c r="B19" s="571" t="s">
        <v>80</v>
      </c>
      <c r="C19" s="547" t="s">
        <v>108</v>
      </c>
      <c r="D19" s="572">
        <v>5914389</v>
      </c>
      <c r="E19" s="573"/>
      <c r="F19" s="574"/>
      <c r="G19" s="575">
        <v>0.79244000000000003</v>
      </c>
      <c r="H19" s="567" t="str">
        <f t="shared" si="3"/>
        <v>t / m³</v>
      </c>
      <c r="I19" s="568">
        <f t="shared" si="4"/>
        <v>812.73900000000003</v>
      </c>
      <c r="J19" s="579">
        <v>0.5</v>
      </c>
      <c r="K19" s="580">
        <f>I19*J19</f>
        <v>406.36950000000002</v>
      </c>
      <c r="L19" s="643"/>
    </row>
    <row r="20" spans="2:12" x14ac:dyDescent="0.25">
      <c r="B20" s="536">
        <v>4011279</v>
      </c>
      <c r="C20" s="537" t="s">
        <v>24</v>
      </c>
      <c r="D20" s="538"/>
      <c r="E20" s="539">
        <f>VLOOKUP(B20,'Orça-SD'!$B$6:$I$56,4,FALSE)</f>
        <v>615.36998160000007</v>
      </c>
      <c r="F20" s="540" t="s">
        <v>2</v>
      </c>
      <c r="G20" s="541"/>
      <c r="H20" s="577"/>
      <c r="I20" s="578"/>
      <c r="J20" s="544"/>
      <c r="K20" s="545"/>
      <c r="L20" s="642"/>
    </row>
    <row r="21" spans="2:12" x14ac:dyDescent="0.25">
      <c r="B21" s="565" t="s">
        <v>109</v>
      </c>
      <c r="C21" s="547" t="s">
        <v>490</v>
      </c>
      <c r="D21" s="548">
        <v>5914389</v>
      </c>
      <c r="E21" s="549"/>
      <c r="F21" s="550"/>
      <c r="G21" s="566">
        <v>1.89</v>
      </c>
      <c r="H21" s="567" t="str">
        <f>CONCATENATE("t / ",$F$20)</f>
        <v>t / m³</v>
      </c>
      <c r="I21" s="549">
        <f>TRUNC(E20*G21,3)</f>
        <v>1163.049</v>
      </c>
      <c r="J21" s="554">
        <v>14.2</v>
      </c>
      <c r="K21" s="555">
        <f>I21*J21</f>
        <v>16515.2958</v>
      </c>
      <c r="L21" s="643"/>
    </row>
    <row r="22" spans="2:12" x14ac:dyDescent="0.25">
      <c r="B22" s="571" t="s">
        <v>80</v>
      </c>
      <c r="C22" s="547" t="s">
        <v>108</v>
      </c>
      <c r="D22" s="572">
        <v>5914389</v>
      </c>
      <c r="E22" s="573"/>
      <c r="F22" s="574"/>
      <c r="G22" s="575">
        <v>0.21</v>
      </c>
      <c r="H22" s="567" t="str">
        <f>CONCATENATE("t / ",$F$20)</f>
        <v>t / m³</v>
      </c>
      <c r="I22" s="573">
        <f>TRUNC(E20*G22,3)</f>
        <v>129.227</v>
      </c>
      <c r="J22" s="579">
        <v>14.2</v>
      </c>
      <c r="K22" s="580">
        <f t="shared" ref="K22" si="5">I22*J22</f>
        <v>1835.0234</v>
      </c>
      <c r="L22" s="643"/>
    </row>
    <row r="23" spans="2:12" x14ac:dyDescent="0.25">
      <c r="B23" s="536">
        <v>4011479</v>
      </c>
      <c r="C23" s="537" t="s">
        <v>387</v>
      </c>
      <c r="D23" s="538"/>
      <c r="E23" s="539">
        <f>VLOOKUP(B23,'Orça-SD'!$B$6:$I$56,4,FALSE)</f>
        <v>14.4</v>
      </c>
      <c r="F23" s="540" t="s">
        <v>2</v>
      </c>
      <c r="G23" s="541"/>
      <c r="H23" s="577"/>
      <c r="I23" s="578"/>
      <c r="J23" s="544"/>
      <c r="K23" s="545"/>
      <c r="L23" s="642"/>
    </row>
    <row r="24" spans="2:12" x14ac:dyDescent="0.25">
      <c r="B24" s="565" t="s">
        <v>408</v>
      </c>
      <c r="C24" s="547" t="s">
        <v>409</v>
      </c>
      <c r="D24" s="548">
        <v>5914389</v>
      </c>
      <c r="E24" s="549"/>
      <c r="F24" s="550"/>
      <c r="G24" s="566">
        <v>2.4</v>
      </c>
      <c r="H24" s="567" t="str">
        <f>CONCATENATE("t / ",$F$20)</f>
        <v>t / m³</v>
      </c>
      <c r="I24" s="549">
        <f>TRUNC(E23*G24,3)</f>
        <v>34.56</v>
      </c>
      <c r="J24" s="554">
        <v>1</v>
      </c>
      <c r="K24" s="555">
        <f>I24*J24</f>
        <v>34.56</v>
      </c>
      <c r="L24" s="643"/>
    </row>
    <row r="25" spans="2:12" x14ac:dyDescent="0.25">
      <c r="B25" s="536">
        <v>4915669</v>
      </c>
      <c r="C25" s="537" t="s">
        <v>29</v>
      </c>
      <c r="D25" s="538"/>
      <c r="E25" s="539">
        <f>VLOOKUP(B25,'Orça-SD'!$B$6:$I$56,4,FALSE)</f>
        <v>280</v>
      </c>
      <c r="F25" s="540" t="s">
        <v>2</v>
      </c>
      <c r="G25" s="541"/>
      <c r="H25" s="577"/>
      <c r="I25" s="578"/>
      <c r="J25" s="544"/>
      <c r="K25" s="545"/>
      <c r="L25" s="642"/>
    </row>
    <row r="26" spans="2:12" x14ac:dyDescent="0.25">
      <c r="B26" s="565" t="s">
        <v>110</v>
      </c>
      <c r="C26" s="547" t="s">
        <v>497</v>
      </c>
      <c r="D26" s="548">
        <v>5914344</v>
      </c>
      <c r="E26" s="549"/>
      <c r="F26" s="550"/>
      <c r="G26" s="566">
        <v>2.0630000000000002</v>
      </c>
      <c r="H26" s="567" t="str">
        <f>CONCATENATE("t / ",$F$20)</f>
        <v>t / m³</v>
      </c>
      <c r="I26" s="549">
        <f>TRUNC(E25*G26,3)</f>
        <v>577.64</v>
      </c>
      <c r="J26" s="554">
        <v>1</v>
      </c>
      <c r="K26" s="555">
        <f>I26*J26</f>
        <v>577.64</v>
      </c>
      <c r="L26" s="643"/>
    </row>
    <row r="27" spans="2:12" x14ac:dyDescent="0.25">
      <c r="B27" s="762" t="str">
        <f>'Orça-SD'!C23</f>
        <v>DRENAGEM</v>
      </c>
      <c r="C27" s="763"/>
      <c r="D27" s="763"/>
      <c r="E27" s="763"/>
      <c r="F27" s="763"/>
      <c r="G27" s="763"/>
      <c r="H27" s="763"/>
      <c r="I27" s="763"/>
      <c r="J27" s="763"/>
      <c r="K27" s="764"/>
      <c r="L27" s="641"/>
    </row>
    <row r="28" spans="2:12" ht="30" x14ac:dyDescent="0.25">
      <c r="B28" s="536">
        <v>804037</v>
      </c>
      <c r="C28" s="537" t="s">
        <v>463</v>
      </c>
      <c r="D28" s="538"/>
      <c r="E28" s="539">
        <f>VLOOKUP(B28,'Orça-SD'!$B$6:$I$56,4,FALSE)</f>
        <v>177</v>
      </c>
      <c r="F28" s="540" t="s">
        <v>4</v>
      </c>
      <c r="G28" s="541"/>
      <c r="H28" s="577"/>
      <c r="I28" s="578"/>
      <c r="J28" s="544"/>
      <c r="K28" s="545"/>
      <c r="L28" s="642"/>
    </row>
    <row r="29" spans="2:12" x14ac:dyDescent="0.25">
      <c r="B29" s="565" t="s">
        <v>111</v>
      </c>
      <c r="C29" s="547" t="s">
        <v>496</v>
      </c>
      <c r="D29" s="548">
        <v>5914614</v>
      </c>
      <c r="E29" s="549"/>
      <c r="F29" s="570"/>
      <c r="G29" s="566">
        <v>0.78666999999999998</v>
      </c>
      <c r="H29" s="550" t="str">
        <f>CONCATENATE("t / ",F28)</f>
        <v>t / m</v>
      </c>
      <c r="I29" s="549">
        <f>TRUNC(E28*G29,3)</f>
        <v>139.24</v>
      </c>
      <c r="J29" s="554">
        <v>13.1</v>
      </c>
      <c r="K29" s="555">
        <f>I29*J29</f>
        <v>1824.0440000000001</v>
      </c>
      <c r="L29" s="643"/>
    </row>
    <row r="30" spans="2:12" ht="30" x14ac:dyDescent="0.25">
      <c r="B30" s="581">
        <v>1109671</v>
      </c>
      <c r="C30" s="582" t="s">
        <v>483</v>
      </c>
      <c r="D30" s="583"/>
      <c r="E30" s="584">
        <f>TRUNC(E28*G30,3)</f>
        <v>1.3</v>
      </c>
      <c r="F30" s="585" t="s">
        <v>2</v>
      </c>
      <c r="G30" s="586">
        <v>7.3499999999999998E-3</v>
      </c>
      <c r="H30" s="587"/>
      <c r="I30" s="584"/>
      <c r="J30" s="588"/>
      <c r="K30" s="589"/>
      <c r="L30" s="642"/>
    </row>
    <row r="31" spans="2:12" x14ac:dyDescent="0.25">
      <c r="B31" s="565" t="s">
        <v>83</v>
      </c>
      <c r="C31" s="547" t="s">
        <v>113</v>
      </c>
      <c r="D31" s="548">
        <v>5914389</v>
      </c>
      <c r="E31" s="549"/>
      <c r="F31" s="570"/>
      <c r="G31" s="566">
        <v>1.65246</v>
      </c>
      <c r="H31" s="550" t="str">
        <f>CONCATENATE("t / ",F30)</f>
        <v>t / m³</v>
      </c>
      <c r="I31" s="549">
        <f>TRUNC($E$30*G31,3)</f>
        <v>2.1480000000000001</v>
      </c>
      <c r="J31" s="554">
        <v>13.1</v>
      </c>
      <c r="K31" s="555">
        <f>I31*J31</f>
        <v>28.1388</v>
      </c>
      <c r="L31" s="643"/>
    </row>
    <row r="32" spans="2:12" x14ac:dyDescent="0.25">
      <c r="B32" s="571" t="s">
        <v>85</v>
      </c>
      <c r="C32" s="547" t="s">
        <v>414</v>
      </c>
      <c r="D32" s="572">
        <v>5914479</v>
      </c>
      <c r="E32" s="573"/>
      <c r="F32" s="574"/>
      <c r="G32" s="575">
        <v>0.36231999999999998</v>
      </c>
      <c r="H32" s="550" t="str">
        <f>CONCATENATE("t / ",F30)</f>
        <v>t / m³</v>
      </c>
      <c r="I32" s="573">
        <f>TRUNC($E$30*G32,3)</f>
        <v>0.47099999999999997</v>
      </c>
      <c r="J32" s="579">
        <v>13.1</v>
      </c>
      <c r="K32" s="580">
        <f>I32*J32</f>
        <v>6.1700999999999997</v>
      </c>
      <c r="L32" s="643"/>
    </row>
    <row r="33" spans="2:12" ht="30" x14ac:dyDescent="0.25">
      <c r="B33" s="581">
        <v>1106165</v>
      </c>
      <c r="C33" s="582" t="s">
        <v>114</v>
      </c>
      <c r="D33" s="583"/>
      <c r="E33" s="584">
        <f>TRUNC(E28*G33,3)</f>
        <v>71.153999999999996</v>
      </c>
      <c r="F33" s="585" t="s">
        <v>2</v>
      </c>
      <c r="G33" s="586">
        <v>0.40200000000000002</v>
      </c>
      <c r="H33" s="562"/>
      <c r="I33" s="584"/>
      <c r="J33" s="588"/>
      <c r="K33" s="589"/>
      <c r="L33" s="642"/>
    </row>
    <row r="34" spans="2:12" x14ac:dyDescent="0.25">
      <c r="B34" s="571" t="s">
        <v>87</v>
      </c>
      <c r="C34" s="547" t="s">
        <v>426</v>
      </c>
      <c r="D34" s="572">
        <v>5914389</v>
      </c>
      <c r="E34" s="573"/>
      <c r="F34" s="590"/>
      <c r="G34" s="575">
        <v>0.78900000000000003</v>
      </c>
      <c r="H34" s="574" t="str">
        <f>CONCATENATE("t / ",$F$33)</f>
        <v>t / m³</v>
      </c>
      <c r="I34" s="573">
        <f>TRUNC($E$33*G34,3)</f>
        <v>56.14</v>
      </c>
      <c r="J34" s="579">
        <v>14.2</v>
      </c>
      <c r="K34" s="580">
        <f>I34*J34</f>
        <v>797.18799999999999</v>
      </c>
      <c r="L34" s="643"/>
    </row>
    <row r="35" spans="2:12" ht="30" x14ac:dyDescent="0.25">
      <c r="B35" s="591">
        <v>1107892</v>
      </c>
      <c r="C35" s="614" t="s">
        <v>115</v>
      </c>
      <c r="D35" s="592"/>
      <c r="E35" s="593">
        <f>TRUNC(E33*G35,3)</f>
        <v>49.807000000000002</v>
      </c>
      <c r="F35" s="594" t="s">
        <v>2</v>
      </c>
      <c r="G35" s="595">
        <v>0.7</v>
      </c>
      <c r="H35" s="596"/>
      <c r="I35" s="593"/>
      <c r="J35" s="597"/>
      <c r="K35" s="598"/>
      <c r="L35" s="642"/>
    </row>
    <row r="36" spans="2:12" x14ac:dyDescent="0.25">
      <c r="B36" s="565" t="s">
        <v>112</v>
      </c>
      <c r="C36" s="547" t="s">
        <v>413</v>
      </c>
      <c r="D36" s="548">
        <v>5914479</v>
      </c>
      <c r="E36" s="549"/>
      <c r="F36" s="570"/>
      <c r="G36" s="566">
        <v>8.4999999999999995E-4</v>
      </c>
      <c r="H36" s="550" t="str">
        <f>CONCATENATE("t / ",$F$35)</f>
        <v>t / m³</v>
      </c>
      <c r="I36" s="549">
        <f>TRUNC($E$35*G36,3)</f>
        <v>4.2000000000000003E-2</v>
      </c>
      <c r="J36" s="554">
        <v>13.1</v>
      </c>
      <c r="K36" s="555">
        <f>I36*J36</f>
        <v>0.55020000000000002</v>
      </c>
      <c r="L36" s="643"/>
    </row>
    <row r="37" spans="2:12" x14ac:dyDescent="0.25">
      <c r="B37" s="565" t="s">
        <v>83</v>
      </c>
      <c r="C37" s="547" t="s">
        <v>113</v>
      </c>
      <c r="D37" s="548">
        <v>5914389</v>
      </c>
      <c r="E37" s="549"/>
      <c r="F37" s="570"/>
      <c r="G37" s="566">
        <v>0.95001000000000002</v>
      </c>
      <c r="H37" s="550" t="str">
        <f t="shared" ref="H37:H40" si="6">CONCATENATE("t / ",$F$35)</f>
        <v>t / m³</v>
      </c>
      <c r="I37" s="549">
        <f t="shared" ref="I37:I40" si="7">TRUNC($E$35*G37,3)</f>
        <v>47.317</v>
      </c>
      <c r="J37" s="554">
        <v>13.1</v>
      </c>
      <c r="K37" s="555">
        <f t="shared" ref="K37:K39" si="8">I37*J37</f>
        <v>619.85270000000003</v>
      </c>
      <c r="L37" s="643"/>
    </row>
    <row r="38" spans="2:12" x14ac:dyDescent="0.25">
      <c r="B38" s="565" t="s">
        <v>82</v>
      </c>
      <c r="C38" s="547" t="s">
        <v>104</v>
      </c>
      <c r="D38" s="548">
        <v>5914389</v>
      </c>
      <c r="E38" s="549"/>
      <c r="F38" s="570"/>
      <c r="G38" s="566">
        <v>0.55130999999999997</v>
      </c>
      <c r="H38" s="550" t="str">
        <f t="shared" si="6"/>
        <v>t / m³</v>
      </c>
      <c r="I38" s="549">
        <f t="shared" si="7"/>
        <v>27.459</v>
      </c>
      <c r="J38" s="554">
        <v>14.2</v>
      </c>
      <c r="K38" s="555">
        <f t="shared" si="8"/>
        <v>389.9178</v>
      </c>
      <c r="L38" s="643"/>
    </row>
    <row r="39" spans="2:12" x14ac:dyDescent="0.25">
      <c r="B39" s="565" t="s">
        <v>84</v>
      </c>
      <c r="C39" s="547" t="s">
        <v>107</v>
      </c>
      <c r="D39" s="548">
        <v>5914389</v>
      </c>
      <c r="E39" s="549"/>
      <c r="F39" s="570"/>
      <c r="G39" s="566">
        <v>0.55130999999999997</v>
      </c>
      <c r="H39" s="550" t="str">
        <f t="shared" si="6"/>
        <v>t / m³</v>
      </c>
      <c r="I39" s="549">
        <f t="shared" si="7"/>
        <v>27.459</v>
      </c>
      <c r="J39" s="554">
        <v>14.2</v>
      </c>
      <c r="K39" s="555">
        <f t="shared" si="8"/>
        <v>389.9178</v>
      </c>
      <c r="L39" s="643"/>
    </row>
    <row r="40" spans="2:12" x14ac:dyDescent="0.25">
      <c r="B40" s="571" t="s">
        <v>85</v>
      </c>
      <c r="C40" s="547" t="s">
        <v>414</v>
      </c>
      <c r="D40" s="572">
        <v>5914479</v>
      </c>
      <c r="E40" s="573"/>
      <c r="F40" s="574"/>
      <c r="G40" s="575">
        <v>0.28215000000000001</v>
      </c>
      <c r="H40" s="574" t="str">
        <f t="shared" si="6"/>
        <v>t / m³</v>
      </c>
      <c r="I40" s="549">
        <f t="shared" si="7"/>
        <v>14.053000000000001</v>
      </c>
      <c r="J40" s="579">
        <v>13.1</v>
      </c>
      <c r="K40" s="580">
        <f>I40*J40</f>
        <v>184.0943</v>
      </c>
      <c r="L40" s="643"/>
    </row>
    <row r="41" spans="2:12" ht="30" x14ac:dyDescent="0.25">
      <c r="B41" s="581">
        <v>3103302</v>
      </c>
      <c r="C41" s="557" t="s">
        <v>485</v>
      </c>
      <c r="D41" s="583"/>
      <c r="E41" s="584">
        <f>TRUNC(E28*G41,3)</f>
        <v>141.6</v>
      </c>
      <c r="F41" s="585" t="s">
        <v>3</v>
      </c>
      <c r="G41" s="586">
        <v>0.8</v>
      </c>
      <c r="H41" s="587"/>
      <c r="I41" s="559"/>
      <c r="J41" s="588"/>
      <c r="K41" s="589"/>
      <c r="L41" s="642"/>
    </row>
    <row r="42" spans="2:12" x14ac:dyDescent="0.25">
      <c r="B42" s="565" t="s">
        <v>410</v>
      </c>
      <c r="C42" s="547" t="s">
        <v>411</v>
      </c>
      <c r="D42" s="548">
        <v>5914479</v>
      </c>
      <c r="E42" s="549"/>
      <c r="F42" s="570"/>
      <c r="G42" s="566">
        <v>2.0000000000000002E-5</v>
      </c>
      <c r="H42" s="550" t="str">
        <f>CONCATENATE("t / ",$F$41)</f>
        <v>t / m²</v>
      </c>
      <c r="I42" s="549">
        <f>TRUNC($E$41*G42,3)</f>
        <v>2E-3</v>
      </c>
      <c r="J42" s="554">
        <v>13.1</v>
      </c>
      <c r="K42" s="555">
        <f>I42*J42</f>
        <v>2.6200000000000001E-2</v>
      </c>
      <c r="L42" s="643"/>
    </row>
    <row r="43" spans="2:12" x14ac:dyDescent="0.25">
      <c r="B43" s="565" t="s">
        <v>88</v>
      </c>
      <c r="C43" s="547" t="s">
        <v>116</v>
      </c>
      <c r="D43" s="548">
        <v>5914479</v>
      </c>
      <c r="E43" s="549"/>
      <c r="F43" s="570"/>
      <c r="G43" s="566">
        <v>3.0000000000000001E-5</v>
      </c>
      <c r="H43" s="550" t="str">
        <f t="shared" ref="H43:H45" si="9">CONCATENATE("t / ",$F$41)</f>
        <v>t / m²</v>
      </c>
      <c r="I43" s="549">
        <f t="shared" ref="I43:I45" si="10">TRUNC($E$41*G43,3)</f>
        <v>4.0000000000000001E-3</v>
      </c>
      <c r="J43" s="554">
        <v>13.1</v>
      </c>
      <c r="K43" s="555">
        <f t="shared" ref="K43:K44" si="11">I43*J43</f>
        <v>5.2400000000000002E-2</v>
      </c>
      <c r="L43" s="643"/>
    </row>
    <row r="44" spans="2:12" x14ac:dyDescent="0.25">
      <c r="B44" s="565" t="s">
        <v>89</v>
      </c>
      <c r="C44" s="547" t="s">
        <v>412</v>
      </c>
      <c r="D44" s="548">
        <v>5914479</v>
      </c>
      <c r="E44" s="549"/>
      <c r="F44" s="570"/>
      <c r="G44" s="566">
        <v>3.0400000000000002E-3</v>
      </c>
      <c r="H44" s="550" t="str">
        <f t="shared" si="9"/>
        <v>t / m²</v>
      </c>
      <c r="I44" s="549">
        <f t="shared" si="10"/>
        <v>0.43</v>
      </c>
      <c r="J44" s="554">
        <v>13.1</v>
      </c>
      <c r="K44" s="555">
        <f t="shared" si="11"/>
        <v>5.633</v>
      </c>
      <c r="L44" s="643"/>
    </row>
    <row r="45" spans="2:12" x14ac:dyDescent="0.25">
      <c r="B45" s="571" t="s">
        <v>90</v>
      </c>
      <c r="C45" s="547" t="s">
        <v>117</v>
      </c>
      <c r="D45" s="572">
        <v>5914479</v>
      </c>
      <c r="E45" s="573"/>
      <c r="F45" s="574"/>
      <c r="G45" s="575">
        <v>1.0109999999999999E-2</v>
      </c>
      <c r="H45" s="550" t="str">
        <f t="shared" si="9"/>
        <v>t / m²</v>
      </c>
      <c r="I45" s="549">
        <f t="shared" si="10"/>
        <v>1.431</v>
      </c>
      <c r="J45" s="554">
        <v>13.1</v>
      </c>
      <c r="K45" s="580">
        <f>I45*J45</f>
        <v>18.746099999999998</v>
      </c>
      <c r="L45" s="643"/>
    </row>
    <row r="46" spans="2:12" ht="30" x14ac:dyDescent="0.25">
      <c r="B46" s="536">
        <v>804393</v>
      </c>
      <c r="C46" s="537" t="s">
        <v>464</v>
      </c>
      <c r="D46" s="538"/>
      <c r="E46" s="539">
        <f>VLOOKUP(B46,'Orça-SD'!$B$6:$I$56,4,FALSE)</f>
        <v>18</v>
      </c>
      <c r="F46" s="540" t="s">
        <v>1</v>
      </c>
      <c r="G46" s="541"/>
      <c r="H46" s="577"/>
      <c r="I46" s="578"/>
      <c r="J46" s="544"/>
      <c r="K46" s="545"/>
      <c r="L46" s="642"/>
    </row>
    <row r="47" spans="2:12" ht="30" x14ac:dyDescent="0.25">
      <c r="B47" s="556">
        <v>1107892</v>
      </c>
      <c r="C47" s="557" t="s">
        <v>115</v>
      </c>
      <c r="D47" s="558"/>
      <c r="E47" s="559">
        <f>TRUNC(E46*G47,3)</f>
        <v>64.206000000000003</v>
      </c>
      <c r="F47" s="560" t="s">
        <v>2</v>
      </c>
      <c r="G47" s="599">
        <v>3.5670000000000002</v>
      </c>
      <c r="H47" s="562"/>
      <c r="I47" s="559"/>
      <c r="J47" s="563"/>
      <c r="K47" s="564"/>
      <c r="L47" s="642"/>
    </row>
    <row r="48" spans="2:12" x14ac:dyDescent="0.25">
      <c r="B48" s="565" t="s">
        <v>112</v>
      </c>
      <c r="C48" s="547" t="s">
        <v>413</v>
      </c>
      <c r="D48" s="548">
        <v>5914479</v>
      </c>
      <c r="E48" s="549"/>
      <c r="F48" s="570"/>
      <c r="G48" s="566">
        <v>8.4999999999999995E-4</v>
      </c>
      <c r="H48" s="550" t="str">
        <f>CONCATENATE("t / ",$F$47)</f>
        <v>t / m³</v>
      </c>
      <c r="I48" s="549">
        <f>TRUNC($E$47*G48,3)</f>
        <v>5.3999999999999999E-2</v>
      </c>
      <c r="J48" s="554">
        <v>13.1</v>
      </c>
      <c r="K48" s="555">
        <f>I48*J48</f>
        <v>0.70739999999999992</v>
      </c>
      <c r="L48" s="643"/>
    </row>
    <row r="49" spans="2:12" x14ac:dyDescent="0.25">
      <c r="B49" s="565" t="s">
        <v>83</v>
      </c>
      <c r="C49" s="547" t="s">
        <v>113</v>
      </c>
      <c r="D49" s="548">
        <v>5914389</v>
      </c>
      <c r="E49" s="549"/>
      <c r="F49" s="570"/>
      <c r="G49" s="566">
        <v>0.95001000000000002</v>
      </c>
      <c r="H49" s="550" t="str">
        <f t="shared" ref="H49:H52" si="12">CONCATENATE("t / ",$F$47)</f>
        <v>t / m³</v>
      </c>
      <c r="I49" s="549">
        <f t="shared" ref="I49:I52" si="13">TRUNC($E$47*G49,3)</f>
        <v>60.996000000000002</v>
      </c>
      <c r="J49" s="554">
        <v>13.1</v>
      </c>
      <c r="K49" s="555">
        <f t="shared" ref="K49:K52" si="14">I49*J49</f>
        <v>799.04759999999999</v>
      </c>
      <c r="L49" s="643"/>
    </row>
    <row r="50" spans="2:12" x14ac:dyDescent="0.25">
      <c r="B50" s="565" t="s">
        <v>82</v>
      </c>
      <c r="C50" s="547" t="s">
        <v>104</v>
      </c>
      <c r="D50" s="548">
        <v>5914389</v>
      </c>
      <c r="E50" s="549"/>
      <c r="F50" s="570"/>
      <c r="G50" s="566">
        <v>0.55130999999999997</v>
      </c>
      <c r="H50" s="550" t="str">
        <f t="shared" si="12"/>
        <v>t / m³</v>
      </c>
      <c r="I50" s="549">
        <f t="shared" si="13"/>
        <v>35.396999999999998</v>
      </c>
      <c r="J50" s="554">
        <v>14.2</v>
      </c>
      <c r="K50" s="555">
        <f t="shared" si="14"/>
        <v>502.63739999999996</v>
      </c>
      <c r="L50" s="643"/>
    </row>
    <row r="51" spans="2:12" x14ac:dyDescent="0.25">
      <c r="B51" s="565" t="s">
        <v>84</v>
      </c>
      <c r="C51" s="547" t="s">
        <v>107</v>
      </c>
      <c r="D51" s="548">
        <v>5914389</v>
      </c>
      <c r="E51" s="549"/>
      <c r="F51" s="570"/>
      <c r="G51" s="566">
        <v>0.55130999999999997</v>
      </c>
      <c r="H51" s="550" t="str">
        <f t="shared" si="12"/>
        <v>t / m³</v>
      </c>
      <c r="I51" s="549">
        <f t="shared" si="13"/>
        <v>35.396999999999998</v>
      </c>
      <c r="J51" s="554">
        <v>14.2</v>
      </c>
      <c r="K51" s="555">
        <f t="shared" si="14"/>
        <v>502.63739999999996</v>
      </c>
      <c r="L51" s="643"/>
    </row>
    <row r="52" spans="2:12" x14ac:dyDescent="0.25">
      <c r="B52" s="571" t="s">
        <v>85</v>
      </c>
      <c r="C52" s="547" t="s">
        <v>414</v>
      </c>
      <c r="D52" s="572">
        <v>5914479</v>
      </c>
      <c r="E52" s="573"/>
      <c r="F52" s="574"/>
      <c r="G52" s="575">
        <v>0.28215000000000001</v>
      </c>
      <c r="H52" s="574" t="str">
        <f t="shared" si="12"/>
        <v>t / m³</v>
      </c>
      <c r="I52" s="573">
        <f t="shared" si="13"/>
        <v>18.114999999999998</v>
      </c>
      <c r="J52" s="579">
        <v>13.1</v>
      </c>
      <c r="K52" s="580">
        <f t="shared" si="14"/>
        <v>237.30649999999997</v>
      </c>
      <c r="L52" s="643"/>
    </row>
    <row r="53" spans="2:12" ht="30" x14ac:dyDescent="0.25">
      <c r="B53" s="581">
        <v>3103302</v>
      </c>
      <c r="C53" s="557" t="s">
        <v>485</v>
      </c>
      <c r="D53" s="583"/>
      <c r="E53" s="584">
        <f>TRUNC(E46*G53,3)</f>
        <v>282.24</v>
      </c>
      <c r="F53" s="585" t="s">
        <v>3</v>
      </c>
      <c r="G53" s="600">
        <v>15.68</v>
      </c>
      <c r="H53" s="587"/>
      <c r="I53" s="584"/>
      <c r="J53" s="588"/>
      <c r="K53" s="589"/>
      <c r="L53" s="642"/>
    </row>
    <row r="54" spans="2:12" x14ac:dyDescent="0.25">
      <c r="B54" s="565" t="s">
        <v>410</v>
      </c>
      <c r="C54" s="547" t="s">
        <v>411</v>
      </c>
      <c r="D54" s="548">
        <v>5914479</v>
      </c>
      <c r="E54" s="549"/>
      <c r="F54" s="570"/>
      <c r="G54" s="601">
        <v>2.0000000000000002E-5</v>
      </c>
      <c r="H54" s="550" t="str">
        <f>CONCATENATE("t / ",$F$53)</f>
        <v>t / m²</v>
      </c>
      <c r="I54" s="549">
        <f>TRUNC($E$53*G54,3)</f>
        <v>5.0000000000000001E-3</v>
      </c>
      <c r="J54" s="554">
        <v>13.1</v>
      </c>
      <c r="K54" s="555">
        <f>I54*J54</f>
        <v>6.5500000000000003E-2</v>
      </c>
      <c r="L54" s="643"/>
    </row>
    <row r="55" spans="2:12" x14ac:dyDescent="0.25">
      <c r="B55" s="565" t="s">
        <v>88</v>
      </c>
      <c r="C55" s="547" t="s">
        <v>116</v>
      </c>
      <c r="D55" s="548">
        <v>5914479</v>
      </c>
      <c r="E55" s="549"/>
      <c r="F55" s="570"/>
      <c r="G55" s="601">
        <v>3.0000000000000001E-5</v>
      </c>
      <c r="H55" s="550" t="str">
        <f t="shared" ref="H55:H57" si="15">CONCATENATE("t / ",$F$53)</f>
        <v>t / m²</v>
      </c>
      <c r="I55" s="549">
        <f t="shared" ref="I55:I57" si="16">TRUNC($E$53*G55,3)</f>
        <v>8.0000000000000002E-3</v>
      </c>
      <c r="J55" s="554">
        <v>13.1</v>
      </c>
      <c r="K55" s="555">
        <f t="shared" ref="K55:K56" si="17">I55*J55</f>
        <v>0.1048</v>
      </c>
      <c r="L55" s="643"/>
    </row>
    <row r="56" spans="2:12" x14ac:dyDescent="0.25">
      <c r="B56" s="565" t="s">
        <v>89</v>
      </c>
      <c r="C56" s="547" t="s">
        <v>412</v>
      </c>
      <c r="D56" s="548">
        <v>5914479</v>
      </c>
      <c r="E56" s="549"/>
      <c r="F56" s="570"/>
      <c r="G56" s="601">
        <v>3.0400000000000002E-3</v>
      </c>
      <c r="H56" s="550" t="str">
        <f t="shared" si="15"/>
        <v>t / m²</v>
      </c>
      <c r="I56" s="549">
        <f t="shared" si="16"/>
        <v>0.85799999999999998</v>
      </c>
      <c r="J56" s="554">
        <v>13.1</v>
      </c>
      <c r="K56" s="555">
        <f t="shared" si="17"/>
        <v>11.239799999999999</v>
      </c>
      <c r="L56" s="643"/>
    </row>
    <row r="57" spans="2:12" x14ac:dyDescent="0.25">
      <c r="B57" s="571" t="s">
        <v>90</v>
      </c>
      <c r="C57" s="547" t="s">
        <v>117</v>
      </c>
      <c r="D57" s="572">
        <v>5914479</v>
      </c>
      <c r="E57" s="573"/>
      <c r="F57" s="574"/>
      <c r="G57" s="602">
        <v>1.0109999999999999E-2</v>
      </c>
      <c r="H57" s="550" t="str">
        <f t="shared" si="15"/>
        <v>t / m²</v>
      </c>
      <c r="I57" s="573">
        <f t="shared" si="16"/>
        <v>2.8530000000000002</v>
      </c>
      <c r="J57" s="579">
        <v>13.1</v>
      </c>
      <c r="K57" s="580">
        <f>I57*J57</f>
        <v>37.374300000000005</v>
      </c>
      <c r="L57" s="643"/>
    </row>
    <row r="58" spans="2:12" ht="30" x14ac:dyDescent="0.25">
      <c r="B58" s="536">
        <v>2003321</v>
      </c>
      <c r="C58" s="537" t="s">
        <v>484</v>
      </c>
      <c r="D58" s="538"/>
      <c r="E58" s="539">
        <f>VLOOKUP(B58,'Orça-SD'!$B$6:$I$56,4,FALSE)</f>
        <v>471</v>
      </c>
      <c r="F58" s="540" t="s">
        <v>4</v>
      </c>
      <c r="G58" s="541"/>
      <c r="H58" s="577"/>
      <c r="I58" s="578"/>
      <c r="J58" s="544"/>
      <c r="K58" s="545"/>
      <c r="L58" s="642"/>
    </row>
    <row r="59" spans="2:12" ht="30" x14ac:dyDescent="0.25">
      <c r="B59" s="556">
        <v>1107892</v>
      </c>
      <c r="C59" s="557" t="s">
        <v>115</v>
      </c>
      <c r="D59" s="558"/>
      <c r="E59" s="559">
        <f>TRUNC(E58*G59,3)</f>
        <v>47.570999999999998</v>
      </c>
      <c r="F59" s="560" t="s">
        <v>2</v>
      </c>
      <c r="G59" s="599">
        <v>0.10100000000000001</v>
      </c>
      <c r="H59" s="562"/>
      <c r="I59" s="559"/>
      <c r="J59" s="563"/>
      <c r="K59" s="564"/>
      <c r="L59" s="642"/>
    </row>
    <row r="60" spans="2:12" x14ac:dyDescent="0.25">
      <c r="B60" s="565" t="s">
        <v>112</v>
      </c>
      <c r="C60" s="547" t="s">
        <v>413</v>
      </c>
      <c r="D60" s="548">
        <v>5914479</v>
      </c>
      <c r="E60" s="549"/>
      <c r="F60" s="570"/>
      <c r="G60" s="566">
        <v>8.4999999999999995E-4</v>
      </c>
      <c r="H60" s="550" t="str">
        <f>CONCATENATE("t / ",$F$59)</f>
        <v>t / m³</v>
      </c>
      <c r="I60" s="549">
        <f>TRUNC($E$59*G60,3)</f>
        <v>0.04</v>
      </c>
      <c r="J60" s="554">
        <v>22.5</v>
      </c>
      <c r="K60" s="555">
        <f>I60*J60</f>
        <v>0.9</v>
      </c>
      <c r="L60" s="643"/>
    </row>
    <row r="61" spans="2:12" x14ac:dyDescent="0.25">
      <c r="B61" s="565" t="s">
        <v>83</v>
      </c>
      <c r="C61" s="547" t="s">
        <v>113</v>
      </c>
      <c r="D61" s="548">
        <v>5914389</v>
      </c>
      <c r="E61" s="549"/>
      <c r="F61" s="570"/>
      <c r="G61" s="566">
        <v>0.95001000000000002</v>
      </c>
      <c r="H61" s="550" t="str">
        <f t="shared" ref="H61:H64" si="18">CONCATENATE("t / ",$F$59)</f>
        <v>t / m³</v>
      </c>
      <c r="I61" s="549">
        <f t="shared" ref="I61:I63" si="19">TRUNC($E$59*G61,3)</f>
        <v>45.192</v>
      </c>
      <c r="J61" s="554">
        <v>22.5</v>
      </c>
      <c r="K61" s="555">
        <f t="shared" ref="K61:K64" si="20">I61*J61</f>
        <v>1016.82</v>
      </c>
      <c r="L61" s="643"/>
    </row>
    <row r="62" spans="2:12" x14ac:dyDescent="0.25">
      <c r="B62" s="565" t="s">
        <v>82</v>
      </c>
      <c r="C62" s="547" t="s">
        <v>104</v>
      </c>
      <c r="D62" s="548">
        <v>5914389</v>
      </c>
      <c r="E62" s="549"/>
      <c r="F62" s="570"/>
      <c r="G62" s="566">
        <v>0.55130999999999997</v>
      </c>
      <c r="H62" s="550" t="str">
        <f t="shared" si="18"/>
        <v>t / m³</v>
      </c>
      <c r="I62" s="549">
        <f t="shared" si="19"/>
        <v>26.225999999999999</v>
      </c>
      <c r="J62" s="554">
        <v>23.5</v>
      </c>
      <c r="K62" s="555">
        <f t="shared" si="20"/>
        <v>616.31099999999992</v>
      </c>
      <c r="L62" s="643"/>
    </row>
    <row r="63" spans="2:12" x14ac:dyDescent="0.25">
      <c r="B63" s="565" t="s">
        <v>84</v>
      </c>
      <c r="C63" s="547" t="s">
        <v>107</v>
      </c>
      <c r="D63" s="548">
        <v>5914389</v>
      </c>
      <c r="E63" s="549"/>
      <c r="F63" s="570"/>
      <c r="G63" s="566">
        <v>0.55130999999999997</v>
      </c>
      <c r="H63" s="550" t="str">
        <f t="shared" si="18"/>
        <v>t / m³</v>
      </c>
      <c r="I63" s="549">
        <f t="shared" si="19"/>
        <v>26.225999999999999</v>
      </c>
      <c r="J63" s="554">
        <v>23.5</v>
      </c>
      <c r="K63" s="555">
        <f t="shared" si="20"/>
        <v>616.31099999999992</v>
      </c>
      <c r="L63" s="643"/>
    </row>
    <row r="64" spans="2:12" x14ac:dyDescent="0.25">
      <c r="B64" s="571" t="s">
        <v>85</v>
      </c>
      <c r="C64" s="547" t="s">
        <v>414</v>
      </c>
      <c r="D64" s="572">
        <v>5914479</v>
      </c>
      <c r="E64" s="573"/>
      <c r="F64" s="574"/>
      <c r="G64" s="575">
        <v>0.28215000000000001</v>
      </c>
      <c r="H64" s="550" t="str">
        <f t="shared" si="18"/>
        <v>t / m³</v>
      </c>
      <c r="I64" s="573">
        <f>TRUNC($E$59*G64,3)</f>
        <v>13.422000000000001</v>
      </c>
      <c r="J64" s="579">
        <v>22.5</v>
      </c>
      <c r="K64" s="580">
        <f t="shared" si="20"/>
        <v>301.995</v>
      </c>
      <c r="L64" s="643"/>
    </row>
    <row r="65" spans="2:12" ht="30" x14ac:dyDescent="0.25">
      <c r="B65" s="556">
        <v>2003842</v>
      </c>
      <c r="C65" s="557" t="s">
        <v>124</v>
      </c>
      <c r="D65" s="558"/>
      <c r="E65" s="559">
        <f>TRUNC(E58*G65,3)</f>
        <v>67.400000000000006</v>
      </c>
      <c r="F65" s="585" t="s">
        <v>118</v>
      </c>
      <c r="G65" s="599">
        <v>0.1431</v>
      </c>
      <c r="H65" s="562"/>
      <c r="I65" s="559"/>
      <c r="J65" s="563"/>
      <c r="K65" s="564"/>
      <c r="L65" s="642"/>
    </row>
    <row r="66" spans="2:12" x14ac:dyDescent="0.25">
      <c r="B66" s="571" t="s">
        <v>91</v>
      </c>
      <c r="C66" s="547" t="s">
        <v>125</v>
      </c>
      <c r="D66" s="572">
        <v>5914479</v>
      </c>
      <c r="E66" s="573"/>
      <c r="F66" s="590"/>
      <c r="G66" s="575">
        <v>1E-3</v>
      </c>
      <c r="H66" s="574" t="str">
        <f>CONCATENATE("t / ",$F$65)</f>
        <v>t / kg</v>
      </c>
      <c r="I66" s="573">
        <f>TRUNC($E$65*G66,3)</f>
        <v>6.7000000000000004E-2</v>
      </c>
      <c r="J66" s="579">
        <v>22.5</v>
      </c>
      <c r="K66" s="580">
        <f>I66*J66</f>
        <v>1.5075000000000001</v>
      </c>
      <c r="L66" s="643"/>
    </row>
    <row r="67" spans="2:12" x14ac:dyDescent="0.25">
      <c r="B67" s="581">
        <v>3108022</v>
      </c>
      <c r="C67" s="646" t="s">
        <v>415</v>
      </c>
      <c r="D67" s="583"/>
      <c r="E67" s="584">
        <f>TRUNC(E58*G67,3)</f>
        <v>315.57</v>
      </c>
      <c r="F67" s="585" t="s">
        <v>4</v>
      </c>
      <c r="G67" s="600">
        <v>0.67</v>
      </c>
      <c r="H67" s="587"/>
      <c r="I67" s="584"/>
      <c r="J67" s="588"/>
      <c r="K67" s="589"/>
      <c r="L67" s="642"/>
    </row>
    <row r="68" spans="2:12" x14ac:dyDescent="0.25">
      <c r="B68" s="565" t="s">
        <v>90</v>
      </c>
      <c r="C68" s="547" t="s">
        <v>117</v>
      </c>
      <c r="D68" s="548">
        <v>5914479</v>
      </c>
      <c r="E68" s="549"/>
      <c r="F68" s="570"/>
      <c r="G68" s="601">
        <v>2.0999999999999999E-3</v>
      </c>
      <c r="H68" s="550" t="str">
        <f>CONCATENATE("t / ",$F$67)</f>
        <v>t / m</v>
      </c>
      <c r="I68" s="549">
        <f>TRUNC(E67*G68,3)</f>
        <v>0.66200000000000003</v>
      </c>
      <c r="J68" s="554">
        <v>22.5</v>
      </c>
      <c r="K68" s="555">
        <f>I68*J68</f>
        <v>14.895000000000001</v>
      </c>
      <c r="L68" s="643"/>
    </row>
    <row r="69" spans="2:12" x14ac:dyDescent="0.25">
      <c r="B69" s="762" t="str">
        <f>'Orça-SD'!C28</f>
        <v>OBRAS COMPLEMENTARES</v>
      </c>
      <c r="C69" s="763"/>
      <c r="D69" s="763"/>
      <c r="E69" s="763"/>
      <c r="F69" s="763"/>
      <c r="G69" s="763"/>
      <c r="H69" s="763"/>
      <c r="I69" s="763"/>
      <c r="J69" s="763"/>
      <c r="K69" s="764"/>
      <c r="L69" s="641"/>
    </row>
    <row r="70" spans="2:12" ht="30" x14ac:dyDescent="0.25">
      <c r="B70" s="603">
        <v>2003377</v>
      </c>
      <c r="C70" s="537" t="s">
        <v>416</v>
      </c>
      <c r="D70" s="604"/>
      <c r="E70" s="605">
        <f>VLOOKUP(B70,'Orça-SD'!$B$6:$I$56,4,FALSE)</f>
        <v>5321</v>
      </c>
      <c r="F70" s="606" t="s">
        <v>4</v>
      </c>
      <c r="G70" s="607"/>
      <c r="H70" s="608"/>
      <c r="I70" s="609"/>
      <c r="J70" s="610"/>
      <c r="K70" s="611"/>
      <c r="L70" s="642"/>
    </row>
    <row r="71" spans="2:12" ht="30" x14ac:dyDescent="0.25">
      <c r="B71" s="581">
        <v>1107928</v>
      </c>
      <c r="C71" s="557" t="s">
        <v>126</v>
      </c>
      <c r="D71" s="583"/>
      <c r="E71" s="584">
        <f>TRUNC(E70*G71,3)</f>
        <v>177.721</v>
      </c>
      <c r="F71" s="585" t="s">
        <v>2</v>
      </c>
      <c r="G71" s="600">
        <v>3.3399999999999999E-2</v>
      </c>
      <c r="H71" s="587"/>
      <c r="I71" s="584"/>
      <c r="J71" s="588"/>
      <c r="K71" s="589"/>
      <c r="L71" s="642"/>
    </row>
    <row r="72" spans="2:12" x14ac:dyDescent="0.25">
      <c r="B72" s="565" t="s">
        <v>112</v>
      </c>
      <c r="C72" s="547" t="s">
        <v>413</v>
      </c>
      <c r="D72" s="548">
        <v>5914479</v>
      </c>
      <c r="E72" s="549"/>
      <c r="F72" s="570"/>
      <c r="G72" s="566">
        <v>8.1999999999999998E-4</v>
      </c>
      <c r="H72" s="550" t="str">
        <f>CONCATENATE("t / ",$F$71)</f>
        <v>t / m³</v>
      </c>
      <c r="I72" s="549">
        <f>TRUNC($E$71*G72,3)</f>
        <v>0.14499999999999999</v>
      </c>
      <c r="J72" s="554">
        <v>13.1</v>
      </c>
      <c r="K72" s="555">
        <f>I72*J72</f>
        <v>1.8994999999999997</v>
      </c>
      <c r="L72" s="643"/>
    </row>
    <row r="73" spans="2:12" x14ac:dyDescent="0.25">
      <c r="B73" s="565" t="s">
        <v>83</v>
      </c>
      <c r="C73" s="547" t="s">
        <v>113</v>
      </c>
      <c r="D73" s="548">
        <v>5914389</v>
      </c>
      <c r="E73" s="549"/>
      <c r="F73" s="570"/>
      <c r="G73" s="566">
        <v>0.95638999999999996</v>
      </c>
      <c r="H73" s="550" t="str">
        <f t="shared" ref="H73:H76" si="21">CONCATENATE("t / ",$F$71)</f>
        <v>t / m³</v>
      </c>
      <c r="I73" s="549">
        <f t="shared" ref="I73:I76" si="22">TRUNC($E$71*G73,3)</f>
        <v>169.97</v>
      </c>
      <c r="J73" s="554">
        <v>13.1</v>
      </c>
      <c r="K73" s="555">
        <f>I73*J73</f>
        <v>2226.607</v>
      </c>
      <c r="L73" s="643"/>
    </row>
    <row r="74" spans="2:12" x14ac:dyDescent="0.25">
      <c r="B74" s="565" t="s">
        <v>82</v>
      </c>
      <c r="C74" s="547" t="s">
        <v>104</v>
      </c>
      <c r="D74" s="548">
        <v>5914389</v>
      </c>
      <c r="E74" s="549"/>
      <c r="F74" s="570"/>
      <c r="G74" s="566">
        <v>0.55130999999999997</v>
      </c>
      <c r="H74" s="550" t="str">
        <f t="shared" si="21"/>
        <v>t / m³</v>
      </c>
      <c r="I74" s="549">
        <f t="shared" si="22"/>
        <v>97.978999999999999</v>
      </c>
      <c r="J74" s="554">
        <v>14.2</v>
      </c>
      <c r="K74" s="555">
        <f>I74*J74</f>
        <v>1391.3018</v>
      </c>
      <c r="L74" s="643"/>
    </row>
    <row r="75" spans="2:12" x14ac:dyDescent="0.25">
      <c r="B75" s="565" t="s">
        <v>84</v>
      </c>
      <c r="C75" s="547" t="s">
        <v>107</v>
      </c>
      <c r="D75" s="548">
        <v>5914389</v>
      </c>
      <c r="E75" s="549"/>
      <c r="F75" s="570"/>
      <c r="G75" s="566">
        <v>0.55130999999999997</v>
      </c>
      <c r="H75" s="550" t="str">
        <f t="shared" si="21"/>
        <v>t / m³</v>
      </c>
      <c r="I75" s="549">
        <f t="shared" si="22"/>
        <v>97.978999999999999</v>
      </c>
      <c r="J75" s="554">
        <v>14.2</v>
      </c>
      <c r="K75" s="555">
        <f t="shared" ref="K75" si="23">I75*J75</f>
        <v>1391.3018</v>
      </c>
      <c r="L75" s="643"/>
    </row>
    <row r="76" spans="2:12" x14ac:dyDescent="0.25">
      <c r="B76" s="571" t="s">
        <v>85</v>
      </c>
      <c r="C76" s="547" t="s">
        <v>414</v>
      </c>
      <c r="D76" s="572">
        <v>5914479</v>
      </c>
      <c r="E76" s="573"/>
      <c r="F76" s="574"/>
      <c r="G76" s="575">
        <v>0.27464</v>
      </c>
      <c r="H76" s="574" t="str">
        <f t="shared" si="21"/>
        <v>t / m³</v>
      </c>
      <c r="I76" s="549">
        <f t="shared" si="22"/>
        <v>48.808999999999997</v>
      </c>
      <c r="J76" s="579">
        <v>13.1</v>
      </c>
      <c r="K76" s="580">
        <f>I76*J76</f>
        <v>639.39789999999994</v>
      </c>
      <c r="L76" s="643"/>
    </row>
    <row r="77" spans="2:12" ht="30" x14ac:dyDescent="0.25">
      <c r="B77" s="581">
        <v>2003842</v>
      </c>
      <c r="C77" s="557" t="s">
        <v>124</v>
      </c>
      <c r="D77" s="583"/>
      <c r="E77" s="584">
        <f>TRUNC(E70*G77,3)</f>
        <v>251.68299999999999</v>
      </c>
      <c r="F77" s="585" t="s">
        <v>118</v>
      </c>
      <c r="G77" s="600">
        <v>4.7300000000000002E-2</v>
      </c>
      <c r="H77" s="587"/>
      <c r="I77" s="559"/>
      <c r="J77" s="588"/>
      <c r="K77" s="589"/>
      <c r="L77" s="642"/>
    </row>
    <row r="78" spans="2:12" x14ac:dyDescent="0.25">
      <c r="B78" s="571" t="s">
        <v>91</v>
      </c>
      <c r="C78" s="547" t="s">
        <v>125</v>
      </c>
      <c r="D78" s="572">
        <v>5914479</v>
      </c>
      <c r="E78" s="573"/>
      <c r="F78" s="590"/>
      <c r="G78" s="575">
        <v>1E-3</v>
      </c>
      <c r="H78" s="574" t="str">
        <f>CONCATENATE("t / ",$F$77)</f>
        <v>t / kg</v>
      </c>
      <c r="I78" s="573">
        <f>TRUNC(E77*G78,3)</f>
        <v>0.251</v>
      </c>
      <c r="J78" s="579">
        <v>13.1</v>
      </c>
      <c r="K78" s="580">
        <f>I78*J78</f>
        <v>3.2881</v>
      </c>
      <c r="L78" s="643"/>
    </row>
    <row r="79" spans="2:12" ht="30" x14ac:dyDescent="0.25">
      <c r="B79" s="581">
        <v>3103302</v>
      </c>
      <c r="C79" s="557" t="s">
        <v>485</v>
      </c>
      <c r="D79" s="583"/>
      <c r="E79" s="584">
        <f>TRUNC(E70*G79,3)</f>
        <v>532.1</v>
      </c>
      <c r="F79" s="585" t="s">
        <v>3</v>
      </c>
      <c r="G79" s="600">
        <v>0.1</v>
      </c>
      <c r="H79" s="587"/>
      <c r="I79" s="584"/>
      <c r="J79" s="588"/>
      <c r="K79" s="589"/>
      <c r="L79" s="642"/>
    </row>
    <row r="80" spans="2:12" x14ac:dyDescent="0.25">
      <c r="B80" s="565" t="s">
        <v>410</v>
      </c>
      <c r="C80" s="547" t="s">
        <v>411</v>
      </c>
      <c r="D80" s="548">
        <v>5914479</v>
      </c>
      <c r="E80" s="549"/>
      <c r="F80" s="570"/>
      <c r="G80" s="601">
        <v>2.0000000000000002E-5</v>
      </c>
      <c r="H80" s="550" t="str">
        <f>CONCATENATE("t / ",$F$79)</f>
        <v>t / m²</v>
      </c>
      <c r="I80" s="549">
        <f>TRUNC($E$79*G80,3)</f>
        <v>0.01</v>
      </c>
      <c r="J80" s="554">
        <v>13.1</v>
      </c>
      <c r="K80" s="555">
        <f>I80*J80</f>
        <v>0.13100000000000001</v>
      </c>
      <c r="L80" s="643"/>
    </row>
    <row r="81" spans="2:12" x14ac:dyDescent="0.25">
      <c r="B81" s="565" t="s">
        <v>88</v>
      </c>
      <c r="C81" s="547" t="s">
        <v>116</v>
      </c>
      <c r="D81" s="548">
        <v>5914479</v>
      </c>
      <c r="E81" s="549"/>
      <c r="F81" s="570"/>
      <c r="G81" s="601">
        <v>3.0000000000000001E-5</v>
      </c>
      <c r="H81" s="550" t="str">
        <f t="shared" ref="H81:H83" si="24">CONCATENATE("t / ",$F$79)</f>
        <v>t / m²</v>
      </c>
      <c r="I81" s="549">
        <f t="shared" ref="I81:I83" si="25">TRUNC($E$79*G81,3)</f>
        <v>1.4999999999999999E-2</v>
      </c>
      <c r="J81" s="554">
        <v>13.1</v>
      </c>
      <c r="K81" s="555">
        <f t="shared" ref="K81:K82" si="26">I81*J81</f>
        <v>0.19649999999999998</v>
      </c>
      <c r="L81" s="643"/>
    </row>
    <row r="82" spans="2:12" x14ac:dyDescent="0.25">
      <c r="B82" s="565" t="s">
        <v>89</v>
      </c>
      <c r="C82" s="547" t="s">
        <v>412</v>
      </c>
      <c r="D82" s="548">
        <v>5914479</v>
      </c>
      <c r="E82" s="549"/>
      <c r="F82" s="570"/>
      <c r="G82" s="601">
        <v>3.0400000000000002E-3</v>
      </c>
      <c r="H82" s="550" t="str">
        <f t="shared" si="24"/>
        <v>t / m²</v>
      </c>
      <c r="I82" s="549">
        <f t="shared" si="25"/>
        <v>1.617</v>
      </c>
      <c r="J82" s="554">
        <v>13.1</v>
      </c>
      <c r="K82" s="555">
        <f t="shared" si="26"/>
        <v>21.182700000000001</v>
      </c>
      <c r="L82" s="643"/>
    </row>
    <row r="83" spans="2:12" x14ac:dyDescent="0.25">
      <c r="B83" s="571" t="s">
        <v>90</v>
      </c>
      <c r="C83" s="547" t="s">
        <v>117</v>
      </c>
      <c r="D83" s="572">
        <v>5914479</v>
      </c>
      <c r="E83" s="573"/>
      <c r="F83" s="574"/>
      <c r="G83" s="602">
        <v>1.0109999999999999E-2</v>
      </c>
      <c r="H83" s="550" t="str">
        <f t="shared" si="24"/>
        <v>t / m²</v>
      </c>
      <c r="I83" s="549">
        <f t="shared" si="25"/>
        <v>5.3789999999999996</v>
      </c>
      <c r="J83" s="579">
        <v>13.1</v>
      </c>
      <c r="K83" s="580">
        <f>I83*J83</f>
        <v>70.464899999999986</v>
      </c>
      <c r="L83" s="643"/>
    </row>
    <row r="84" spans="2:12" x14ac:dyDescent="0.25">
      <c r="B84" s="536">
        <v>4413996</v>
      </c>
      <c r="C84" s="537" t="s">
        <v>8</v>
      </c>
      <c r="D84" s="538"/>
      <c r="E84" s="539">
        <f>VLOOKUP(B84,'Orça-SD'!$B$6:$I$56,4,FALSE)</f>
        <v>498.51800000000003</v>
      </c>
      <c r="F84" s="540" t="s">
        <v>3</v>
      </c>
      <c r="G84" s="541"/>
      <c r="H84" s="577"/>
      <c r="I84" s="578"/>
      <c r="J84" s="544"/>
      <c r="K84" s="545"/>
      <c r="L84" s="642"/>
    </row>
    <row r="85" spans="2:12" x14ac:dyDescent="0.25">
      <c r="B85" s="565" t="s">
        <v>119</v>
      </c>
      <c r="C85" s="547" t="s">
        <v>489</v>
      </c>
      <c r="D85" s="548">
        <v>5914479</v>
      </c>
      <c r="E85" s="549"/>
      <c r="F85" s="570"/>
      <c r="G85" s="566">
        <v>2.0000000000000002E-5</v>
      </c>
      <c r="H85" s="550" t="str">
        <f>CONCATENATE("t / ",$F$84)</f>
        <v>t / m²</v>
      </c>
      <c r="I85" s="549">
        <f>TRUNC($E$84*G85,3)</f>
        <v>8.9999999999999993E-3</v>
      </c>
      <c r="J85" s="554">
        <v>13.1</v>
      </c>
      <c r="K85" s="555">
        <f>I85*J85</f>
        <v>0.11789999999999999</v>
      </c>
      <c r="L85" s="643"/>
    </row>
    <row r="86" spans="2:12" x14ac:dyDescent="0.25">
      <c r="B86" s="546">
        <v>4413995</v>
      </c>
      <c r="C86" s="547" t="s">
        <v>127</v>
      </c>
      <c r="D86" s="548">
        <v>5914479</v>
      </c>
      <c r="E86" s="549"/>
      <c r="F86" s="570"/>
      <c r="G86" s="566">
        <v>2.3E-2</v>
      </c>
      <c r="H86" s="550" t="str">
        <f>CONCATENATE("t / ",$F$84)</f>
        <v>t / m²</v>
      </c>
      <c r="I86" s="549">
        <f>TRUNC($E$84*G86,3)</f>
        <v>11.465</v>
      </c>
      <c r="J86" s="554">
        <v>13.1</v>
      </c>
      <c r="K86" s="555">
        <f>I86*J86</f>
        <v>150.19149999999999</v>
      </c>
      <c r="L86" s="643"/>
    </row>
    <row r="87" spans="2:12" x14ac:dyDescent="0.25">
      <c r="B87" s="612" t="s">
        <v>120</v>
      </c>
      <c r="C87" s="547" t="s">
        <v>491</v>
      </c>
      <c r="D87" s="572">
        <v>5914479</v>
      </c>
      <c r="E87" s="573"/>
      <c r="F87" s="574"/>
      <c r="G87" s="575">
        <v>1.4999999999999999E-4</v>
      </c>
      <c r="H87" s="574" t="str">
        <f>CONCATENATE("t / ",F84)</f>
        <v>t / m²</v>
      </c>
      <c r="I87" s="573">
        <f>TRUNC(E84*G87,3)</f>
        <v>7.3999999999999996E-2</v>
      </c>
      <c r="J87" s="579">
        <v>13.1</v>
      </c>
      <c r="K87" s="580">
        <f>I87*J87</f>
        <v>0.96939999999999993</v>
      </c>
      <c r="L87" s="643"/>
    </row>
    <row r="88" spans="2:12" x14ac:dyDescent="0.25">
      <c r="B88" s="762" t="str">
        <f>'Orça-SD'!C32</f>
        <v>SINALIZAÇÃO</v>
      </c>
      <c r="C88" s="763"/>
      <c r="D88" s="763"/>
      <c r="E88" s="763"/>
      <c r="F88" s="763"/>
      <c r="G88" s="763"/>
      <c r="H88" s="763"/>
      <c r="I88" s="763"/>
      <c r="J88" s="763"/>
      <c r="K88" s="764"/>
      <c r="L88" s="641"/>
    </row>
    <row r="89" spans="2:12" x14ac:dyDescent="0.25">
      <c r="B89" s="536">
        <v>5213572</v>
      </c>
      <c r="C89" s="537" t="s">
        <v>400</v>
      </c>
      <c r="D89" s="538"/>
      <c r="E89" s="539">
        <f>VLOOKUP(B89,'Orça-SD'!$B$6:$I$56,4,FALSE)</f>
        <v>39.340000000000003</v>
      </c>
      <c r="F89" s="540" t="s">
        <v>3</v>
      </c>
      <c r="G89" s="541"/>
      <c r="H89" s="577"/>
      <c r="I89" s="578"/>
      <c r="J89" s="544"/>
      <c r="K89" s="545"/>
      <c r="L89" s="642"/>
    </row>
    <row r="90" spans="2:12" ht="30" x14ac:dyDescent="0.25">
      <c r="B90" s="556">
        <v>5213418</v>
      </c>
      <c r="C90" s="557" t="s">
        <v>417</v>
      </c>
      <c r="D90" s="558"/>
      <c r="E90" s="559">
        <f>TRUNC(E89*G90,3)</f>
        <v>39.340000000000003</v>
      </c>
      <c r="F90" s="560" t="s">
        <v>3</v>
      </c>
      <c r="G90" s="599">
        <v>1</v>
      </c>
      <c r="H90" s="562"/>
      <c r="I90" s="559"/>
      <c r="J90" s="563"/>
      <c r="K90" s="564"/>
      <c r="L90" s="642"/>
    </row>
    <row r="91" spans="2:12" x14ac:dyDescent="0.25">
      <c r="B91" s="565" t="s">
        <v>94</v>
      </c>
      <c r="C91" s="547" t="s">
        <v>419</v>
      </c>
      <c r="D91" s="548">
        <v>5914479</v>
      </c>
      <c r="E91" s="549"/>
      <c r="F91" s="570"/>
      <c r="G91" s="566">
        <v>1.1780000000000001E-2</v>
      </c>
      <c r="H91" s="550" t="str">
        <f>CONCATENATE("t / ",$F$90)</f>
        <v>t / m²</v>
      </c>
      <c r="I91" s="549">
        <f>TRUNC($E$90*G91,3)</f>
        <v>0.46300000000000002</v>
      </c>
      <c r="J91" s="554">
        <v>13.1</v>
      </c>
      <c r="K91" s="555">
        <f>I91*J91</f>
        <v>6.0652999999999997</v>
      </c>
      <c r="L91" s="643"/>
    </row>
    <row r="92" spans="2:12" x14ac:dyDescent="0.25">
      <c r="B92" s="612" t="s">
        <v>121</v>
      </c>
      <c r="C92" s="547" t="s">
        <v>418</v>
      </c>
      <c r="D92" s="572">
        <v>5914479</v>
      </c>
      <c r="E92" s="573"/>
      <c r="F92" s="574"/>
      <c r="G92" s="575">
        <v>6.7000000000000002E-4</v>
      </c>
      <c r="H92" s="574" t="str">
        <f>CONCATENATE("t / ",$F$90)</f>
        <v>t / m²</v>
      </c>
      <c r="I92" s="573">
        <f>TRUNC($E$90*G92,3)</f>
        <v>2.5999999999999999E-2</v>
      </c>
      <c r="J92" s="579">
        <v>13.1</v>
      </c>
      <c r="K92" s="580">
        <f>I92*J92</f>
        <v>0.34059999999999996</v>
      </c>
      <c r="L92" s="643"/>
    </row>
    <row r="93" spans="2:12" ht="30" x14ac:dyDescent="0.25">
      <c r="B93" s="536">
        <v>5216111</v>
      </c>
      <c r="C93" s="537" t="s">
        <v>401</v>
      </c>
      <c r="D93" s="538"/>
      <c r="E93" s="539">
        <f>VLOOKUP(B93,'Orça-SD'!$B$6:$I$56,4,FALSE)</f>
        <v>39</v>
      </c>
      <c r="F93" s="540" t="s">
        <v>1</v>
      </c>
      <c r="G93" s="541"/>
      <c r="H93" s="577"/>
      <c r="I93" s="578"/>
      <c r="J93" s="544"/>
      <c r="K93" s="545"/>
      <c r="L93" s="642"/>
    </row>
    <row r="94" spans="2:12" ht="30" x14ac:dyDescent="0.25">
      <c r="B94" s="565" t="s">
        <v>421</v>
      </c>
      <c r="C94" s="547" t="s">
        <v>420</v>
      </c>
      <c r="D94" s="548">
        <v>5914479</v>
      </c>
      <c r="E94" s="549"/>
      <c r="F94" s="570"/>
      <c r="G94" s="566">
        <v>6.9999999999999999E-4</v>
      </c>
      <c r="H94" s="550" t="str">
        <f>CONCATENATE("t / ",$F$93)</f>
        <v>t / un</v>
      </c>
      <c r="I94" s="549">
        <f>TRUNC($E$93*G94,3)</f>
        <v>2.7E-2</v>
      </c>
      <c r="J94" s="554">
        <v>13.1</v>
      </c>
      <c r="K94" s="555">
        <f t="shared" ref="K94:K96" si="27">I94*J94</f>
        <v>0.35369999999999996</v>
      </c>
      <c r="L94" s="643"/>
    </row>
    <row r="95" spans="2:12" x14ac:dyDescent="0.25">
      <c r="B95" s="565" t="s">
        <v>422</v>
      </c>
      <c r="C95" s="547" t="s">
        <v>424</v>
      </c>
      <c r="D95" s="548">
        <v>5914479</v>
      </c>
      <c r="E95" s="549"/>
      <c r="F95" s="570"/>
      <c r="G95" s="566">
        <v>1.9199999999999998E-2</v>
      </c>
      <c r="H95" s="550" t="str">
        <f t="shared" ref="H95:H96" si="28">CONCATENATE("t / ",$F$93)</f>
        <v>t / un</v>
      </c>
      <c r="I95" s="549">
        <f t="shared" ref="I95:I96" si="29">TRUNC($E$93*G95,3)</f>
        <v>0.748</v>
      </c>
      <c r="J95" s="554">
        <v>13.1</v>
      </c>
      <c r="K95" s="555">
        <f t="shared" si="27"/>
        <v>9.7988</v>
      </c>
      <c r="L95" s="643"/>
    </row>
    <row r="96" spans="2:12" x14ac:dyDescent="0.25">
      <c r="B96" s="565" t="s">
        <v>423</v>
      </c>
      <c r="C96" s="547" t="s">
        <v>425</v>
      </c>
      <c r="D96" s="548">
        <v>5914479</v>
      </c>
      <c r="E96" s="549"/>
      <c r="F96" s="570"/>
      <c r="G96" s="566">
        <v>3.5E-4</v>
      </c>
      <c r="H96" s="550" t="str">
        <f t="shared" si="28"/>
        <v>t / un</v>
      </c>
      <c r="I96" s="549">
        <f t="shared" si="29"/>
        <v>1.2999999999999999E-2</v>
      </c>
      <c r="J96" s="554">
        <v>13.1</v>
      </c>
      <c r="K96" s="555">
        <f t="shared" si="27"/>
        <v>0.17029999999999998</v>
      </c>
      <c r="L96" s="643"/>
    </row>
    <row r="97" spans="2:12" ht="30" x14ac:dyDescent="0.25">
      <c r="B97" s="556">
        <v>1106165</v>
      </c>
      <c r="C97" s="557" t="s">
        <v>114</v>
      </c>
      <c r="D97" s="558"/>
      <c r="E97" s="559">
        <f>TRUNC(E93*G97,3)</f>
        <v>0.14599999999999999</v>
      </c>
      <c r="F97" s="560" t="s">
        <v>2</v>
      </c>
      <c r="G97" s="599">
        <v>3.7499999999999999E-3</v>
      </c>
      <c r="H97" s="562"/>
      <c r="I97" s="559"/>
      <c r="J97" s="563"/>
      <c r="K97" s="564"/>
      <c r="L97" s="642"/>
    </row>
    <row r="98" spans="2:12" x14ac:dyDescent="0.25">
      <c r="B98" s="565" t="s">
        <v>87</v>
      </c>
      <c r="C98" s="547" t="s">
        <v>426</v>
      </c>
      <c r="D98" s="548">
        <v>5914389</v>
      </c>
      <c r="E98" s="549"/>
      <c r="F98" s="570"/>
      <c r="G98" s="566">
        <v>0.78900000000000003</v>
      </c>
      <c r="H98" s="550" t="str">
        <f>CONCATENATE("t / ",$F$90)</f>
        <v>t / m²</v>
      </c>
      <c r="I98" s="549">
        <f>TRUNC($E$97*G98,3)</f>
        <v>0.115</v>
      </c>
      <c r="J98" s="554">
        <v>14.2</v>
      </c>
      <c r="K98" s="555">
        <f>I98*J98</f>
        <v>1.633</v>
      </c>
      <c r="L98" s="643"/>
    </row>
    <row r="99" spans="2:12" ht="30" x14ac:dyDescent="0.25">
      <c r="B99" s="613">
        <v>1107892</v>
      </c>
      <c r="C99" s="614" t="s">
        <v>115</v>
      </c>
      <c r="D99" s="615"/>
      <c r="E99" s="616">
        <f>TRUNC(E97*G99,3)</f>
        <v>0.10199999999999999</v>
      </c>
      <c r="F99" s="617" t="s">
        <v>2</v>
      </c>
      <c r="G99" s="618">
        <v>0.7</v>
      </c>
      <c r="H99" s="619"/>
      <c r="I99" s="616"/>
      <c r="J99" s="620"/>
      <c r="K99" s="621"/>
      <c r="L99" s="642"/>
    </row>
    <row r="100" spans="2:12" x14ac:dyDescent="0.25">
      <c r="B100" s="565" t="s">
        <v>112</v>
      </c>
      <c r="C100" s="547" t="s">
        <v>413</v>
      </c>
      <c r="D100" s="548">
        <v>5914479</v>
      </c>
      <c r="E100" s="549"/>
      <c r="F100" s="570"/>
      <c r="G100" s="566">
        <v>8.4999999999999995E-4</v>
      </c>
      <c r="H100" s="550" t="str">
        <f>CONCATENATE("t / ",$F$35)</f>
        <v>t / m³</v>
      </c>
      <c r="I100" s="549">
        <f>TRUNC($E$35*G100,3)</f>
        <v>4.2000000000000003E-2</v>
      </c>
      <c r="J100" s="554">
        <v>13.1</v>
      </c>
      <c r="K100" s="555">
        <f>I100*J100</f>
        <v>0.55020000000000002</v>
      </c>
      <c r="L100" s="643"/>
    </row>
    <row r="101" spans="2:12" x14ac:dyDescent="0.25">
      <c r="B101" s="565" t="s">
        <v>83</v>
      </c>
      <c r="C101" s="547" t="s">
        <v>113</v>
      </c>
      <c r="D101" s="548">
        <v>5914389</v>
      </c>
      <c r="E101" s="549"/>
      <c r="F101" s="570"/>
      <c r="G101" s="566">
        <v>0.95001000000000002</v>
      </c>
      <c r="H101" s="550" t="str">
        <f t="shared" ref="H101:H104" si="30">CONCATENATE("t / ",$F$35)</f>
        <v>t / m³</v>
      </c>
      <c r="I101" s="549">
        <f t="shared" ref="I101:I104" si="31">TRUNC($E$35*G101,3)</f>
        <v>47.317</v>
      </c>
      <c r="J101" s="554">
        <v>13.1</v>
      </c>
      <c r="K101" s="555">
        <f t="shared" ref="K101:K103" si="32">I101*J101</f>
        <v>619.85270000000003</v>
      </c>
      <c r="L101" s="643"/>
    </row>
    <row r="102" spans="2:12" x14ac:dyDescent="0.25">
      <c r="B102" s="565" t="s">
        <v>82</v>
      </c>
      <c r="C102" s="547" t="s">
        <v>104</v>
      </c>
      <c r="D102" s="548">
        <v>5914389</v>
      </c>
      <c r="E102" s="549"/>
      <c r="F102" s="570"/>
      <c r="G102" s="566">
        <v>0.55130999999999997</v>
      </c>
      <c r="H102" s="550" t="str">
        <f t="shared" si="30"/>
        <v>t / m³</v>
      </c>
      <c r="I102" s="549">
        <f t="shared" si="31"/>
        <v>27.459</v>
      </c>
      <c r="J102" s="554">
        <v>14.2</v>
      </c>
      <c r="K102" s="555">
        <f t="shared" si="32"/>
        <v>389.9178</v>
      </c>
      <c r="L102" s="643"/>
    </row>
    <row r="103" spans="2:12" x14ac:dyDescent="0.25">
      <c r="B103" s="565" t="s">
        <v>84</v>
      </c>
      <c r="C103" s="547" t="s">
        <v>107</v>
      </c>
      <c r="D103" s="548">
        <v>5914389</v>
      </c>
      <c r="E103" s="549"/>
      <c r="F103" s="570"/>
      <c r="G103" s="566">
        <v>0.55130999999999997</v>
      </c>
      <c r="H103" s="550" t="str">
        <f t="shared" si="30"/>
        <v>t / m³</v>
      </c>
      <c r="I103" s="549">
        <f t="shared" si="31"/>
        <v>27.459</v>
      </c>
      <c r="J103" s="554">
        <v>14.2</v>
      </c>
      <c r="K103" s="555">
        <f t="shared" si="32"/>
        <v>389.9178</v>
      </c>
      <c r="L103" s="643"/>
    </row>
    <row r="104" spans="2:12" x14ac:dyDescent="0.25">
      <c r="B104" s="571" t="s">
        <v>85</v>
      </c>
      <c r="C104" s="547" t="s">
        <v>414</v>
      </c>
      <c r="D104" s="572">
        <v>5914479</v>
      </c>
      <c r="E104" s="573"/>
      <c r="F104" s="574"/>
      <c r="G104" s="575">
        <v>0.28215000000000001</v>
      </c>
      <c r="H104" s="574" t="str">
        <f t="shared" si="30"/>
        <v>t / m³</v>
      </c>
      <c r="I104" s="573">
        <f t="shared" si="31"/>
        <v>14.053000000000001</v>
      </c>
      <c r="J104" s="579">
        <v>13.1</v>
      </c>
      <c r="K104" s="580">
        <f>I104*J104</f>
        <v>184.0943</v>
      </c>
      <c r="L104" s="643"/>
    </row>
    <row r="105" spans="2:12" ht="30" x14ac:dyDescent="0.25">
      <c r="B105" s="536">
        <v>5213402</v>
      </c>
      <c r="C105" s="537" t="s">
        <v>402</v>
      </c>
      <c r="D105" s="538"/>
      <c r="E105" s="539">
        <f>VLOOKUP(B105,'Orça-SD'!$B$6:$I$56,4,FALSE)</f>
        <v>386.25</v>
      </c>
      <c r="F105" s="540" t="s">
        <v>3</v>
      </c>
      <c r="G105" s="541"/>
      <c r="H105" s="577"/>
      <c r="I105" s="578"/>
      <c r="J105" s="544"/>
      <c r="K105" s="545"/>
      <c r="L105" s="642"/>
    </row>
    <row r="106" spans="2:12" x14ac:dyDescent="0.25">
      <c r="B106" s="565" t="s">
        <v>95</v>
      </c>
      <c r="C106" s="547" t="s">
        <v>493</v>
      </c>
      <c r="D106" s="548">
        <v>5915324</v>
      </c>
      <c r="E106" s="549"/>
      <c r="F106" s="550"/>
      <c r="G106" s="566">
        <v>1E-4</v>
      </c>
      <c r="H106" s="550" t="str">
        <f>CONCATENATE("t / ",$F$105)</f>
        <v>t / m²</v>
      </c>
      <c r="I106" s="549">
        <f>TRUNC($E$105*G106,3)</f>
        <v>3.7999999999999999E-2</v>
      </c>
      <c r="J106" s="554">
        <v>13.1</v>
      </c>
      <c r="K106" s="555">
        <f>I106*J106</f>
        <v>0.49779999999999996</v>
      </c>
      <c r="L106" s="643"/>
    </row>
    <row r="107" spans="2:12" x14ac:dyDescent="0.25">
      <c r="B107" s="565" t="s">
        <v>96</v>
      </c>
      <c r="C107" s="547" t="s">
        <v>494</v>
      </c>
      <c r="D107" s="548">
        <v>5915324</v>
      </c>
      <c r="E107" s="549"/>
      <c r="F107" s="550"/>
      <c r="G107" s="566">
        <v>2.5000000000000001E-4</v>
      </c>
      <c r="H107" s="550" t="str">
        <f t="shared" ref="H107:H109" si="33">CONCATENATE("t / ",$F$105)</f>
        <v>t / m²</v>
      </c>
      <c r="I107" s="549">
        <f t="shared" ref="I107:I109" si="34">TRUNC($E$105*G107,3)</f>
        <v>9.6000000000000002E-2</v>
      </c>
      <c r="J107" s="554">
        <v>13.1</v>
      </c>
      <c r="K107" s="555">
        <f>I107*J107</f>
        <v>1.2576000000000001</v>
      </c>
      <c r="L107" s="643"/>
    </row>
    <row r="108" spans="2:12" ht="30" x14ac:dyDescent="0.25">
      <c r="B108" s="565" t="s">
        <v>93</v>
      </c>
      <c r="C108" s="547" t="s">
        <v>492</v>
      </c>
      <c r="D108" s="548">
        <v>5915324</v>
      </c>
      <c r="E108" s="549"/>
      <c r="F108" s="550"/>
      <c r="G108" s="566">
        <v>6.4000000000000005E-4</v>
      </c>
      <c r="H108" s="550" t="str">
        <f t="shared" si="33"/>
        <v>t / m²</v>
      </c>
      <c r="I108" s="549">
        <f t="shared" si="34"/>
        <v>0.247</v>
      </c>
      <c r="J108" s="554">
        <v>13.1</v>
      </c>
      <c r="K108" s="555">
        <f t="shared" ref="K108" si="35">I108*J108</f>
        <v>3.2357</v>
      </c>
      <c r="L108" s="643"/>
    </row>
    <row r="109" spans="2:12" ht="30" x14ac:dyDescent="0.25">
      <c r="B109" s="571" t="s">
        <v>97</v>
      </c>
      <c r="C109" s="547" t="s">
        <v>495</v>
      </c>
      <c r="D109" s="572">
        <v>5915324</v>
      </c>
      <c r="E109" s="573"/>
      <c r="F109" s="574"/>
      <c r="G109" s="575">
        <v>5.0000000000000002E-5</v>
      </c>
      <c r="H109" s="550" t="str">
        <f t="shared" si="33"/>
        <v>t / m²</v>
      </c>
      <c r="I109" s="549">
        <f t="shared" si="34"/>
        <v>1.9E-2</v>
      </c>
      <c r="J109" s="579">
        <v>13.1</v>
      </c>
      <c r="K109" s="580">
        <f>I109*J109</f>
        <v>0.24889999999999998</v>
      </c>
      <c r="L109" s="643"/>
    </row>
    <row r="110" spans="2:12" ht="30" x14ac:dyDescent="0.25">
      <c r="B110" s="536">
        <v>5213406</v>
      </c>
      <c r="C110" s="537" t="s">
        <v>403</v>
      </c>
      <c r="D110" s="538"/>
      <c r="E110" s="539">
        <f>VLOOKUP(B110,'Orça-SD'!$B$6:$I$56,4,FALSE)</f>
        <v>63.844999999999999</v>
      </c>
      <c r="F110" s="540" t="s">
        <v>3</v>
      </c>
      <c r="G110" s="541"/>
      <c r="H110" s="577"/>
      <c r="I110" s="578"/>
      <c r="J110" s="544"/>
      <c r="K110" s="545"/>
      <c r="L110" s="642"/>
    </row>
    <row r="111" spans="2:12" x14ac:dyDescent="0.25">
      <c r="B111" s="565" t="s">
        <v>95</v>
      </c>
      <c r="C111" s="547" t="s">
        <v>493</v>
      </c>
      <c r="D111" s="548">
        <v>5915324</v>
      </c>
      <c r="E111" s="549"/>
      <c r="F111" s="550"/>
      <c r="G111" s="566">
        <v>1E-4</v>
      </c>
      <c r="H111" s="550" t="str">
        <f>CONCATENATE("t / ",$F$105)</f>
        <v>t / m²</v>
      </c>
      <c r="I111" s="549">
        <f>TRUNC($E$110*G111,3)</f>
        <v>6.0000000000000001E-3</v>
      </c>
      <c r="J111" s="554">
        <v>13.1</v>
      </c>
      <c r="K111" s="555">
        <f>I111*J111</f>
        <v>7.8600000000000003E-2</v>
      </c>
      <c r="L111" s="643"/>
    </row>
    <row r="112" spans="2:12" x14ac:dyDescent="0.25">
      <c r="B112" s="565" t="s">
        <v>96</v>
      </c>
      <c r="C112" s="547" t="s">
        <v>494</v>
      </c>
      <c r="D112" s="548">
        <v>5915324</v>
      </c>
      <c r="E112" s="549"/>
      <c r="F112" s="550"/>
      <c r="G112" s="566">
        <v>3.3E-4</v>
      </c>
      <c r="H112" s="550" t="str">
        <f t="shared" ref="H112:H114" si="36">CONCATENATE("t / ",$F$105)</f>
        <v>t / m²</v>
      </c>
      <c r="I112" s="549">
        <f>TRUNC($E$110*G112,3)</f>
        <v>2.1000000000000001E-2</v>
      </c>
      <c r="J112" s="554">
        <v>13.1</v>
      </c>
      <c r="K112" s="555">
        <f>I112*J112</f>
        <v>0.27510000000000001</v>
      </c>
      <c r="L112" s="643"/>
    </row>
    <row r="113" spans="2:12" ht="30" x14ac:dyDescent="0.25">
      <c r="B113" s="565" t="s">
        <v>93</v>
      </c>
      <c r="C113" s="547" t="s">
        <v>492</v>
      </c>
      <c r="D113" s="548">
        <v>5915324</v>
      </c>
      <c r="E113" s="549"/>
      <c r="F113" s="550"/>
      <c r="G113" s="566">
        <v>6.4000000000000005E-4</v>
      </c>
      <c r="H113" s="550" t="str">
        <f t="shared" si="36"/>
        <v>t / m²</v>
      </c>
      <c r="I113" s="549">
        <f>TRUNC($E$110*G113,3)</f>
        <v>0.04</v>
      </c>
      <c r="J113" s="554">
        <v>13.1</v>
      </c>
      <c r="K113" s="555">
        <f>I113*J113</f>
        <v>0.52400000000000002</v>
      </c>
      <c r="L113" s="643"/>
    </row>
    <row r="114" spans="2:12" ht="30" x14ac:dyDescent="0.25">
      <c r="B114" s="571" t="s">
        <v>97</v>
      </c>
      <c r="C114" s="547" t="s">
        <v>495</v>
      </c>
      <c r="D114" s="572">
        <v>5915324</v>
      </c>
      <c r="E114" s="573"/>
      <c r="F114" s="574"/>
      <c r="G114" s="575">
        <v>5.0000000000000002E-5</v>
      </c>
      <c r="H114" s="550" t="str">
        <f t="shared" si="36"/>
        <v>t / m²</v>
      </c>
      <c r="I114" s="549">
        <f>TRUNC($E$110*G114,3)</f>
        <v>3.0000000000000001E-3</v>
      </c>
      <c r="J114" s="579">
        <v>13.1</v>
      </c>
      <c r="K114" s="580">
        <f>I114*J114</f>
        <v>3.9300000000000002E-2</v>
      </c>
      <c r="L114" s="643"/>
    </row>
    <row r="115" spans="2:12" ht="30" x14ac:dyDescent="0.25">
      <c r="B115" s="536">
        <v>5219605</v>
      </c>
      <c r="C115" s="537" t="s">
        <v>31</v>
      </c>
      <c r="D115" s="538"/>
      <c r="E115" s="539">
        <f>VLOOKUP(B115,'Orça-SD'!$B$6:$I$56,4,FALSE)</f>
        <v>209</v>
      </c>
      <c r="F115" s="540" t="s">
        <v>1</v>
      </c>
      <c r="G115" s="541"/>
      <c r="H115" s="577"/>
      <c r="I115" s="578"/>
      <c r="J115" s="544"/>
      <c r="K115" s="545"/>
      <c r="L115" s="642"/>
    </row>
    <row r="116" spans="2:12" x14ac:dyDescent="0.25">
      <c r="B116" s="565" t="s">
        <v>122</v>
      </c>
      <c r="C116" s="547" t="s">
        <v>427</v>
      </c>
      <c r="D116" s="548">
        <v>5914479</v>
      </c>
      <c r="E116" s="549"/>
      <c r="F116" s="550"/>
      <c r="G116" s="566">
        <v>1E-4</v>
      </c>
      <c r="H116" s="550" t="str">
        <f>CONCATENATE("t / ",F115)</f>
        <v>t / un</v>
      </c>
      <c r="I116" s="549">
        <f>TRUNC($E$115*G116,3)</f>
        <v>0.02</v>
      </c>
      <c r="J116" s="554">
        <v>13.1</v>
      </c>
      <c r="K116" s="555">
        <f>I116*J116</f>
        <v>0.26200000000000001</v>
      </c>
      <c r="L116" s="643"/>
    </row>
    <row r="117" spans="2:12" x14ac:dyDescent="0.25">
      <c r="B117" s="571" t="s">
        <v>123</v>
      </c>
      <c r="C117" s="547" t="s">
        <v>498</v>
      </c>
      <c r="D117" s="572">
        <v>5914479</v>
      </c>
      <c r="E117" s="573"/>
      <c r="F117" s="574"/>
      <c r="G117" s="575">
        <v>1.2999999999999999E-4</v>
      </c>
      <c r="H117" s="574" t="str">
        <f>CONCATENATE("t / ",F115)</f>
        <v>t / un</v>
      </c>
      <c r="I117" s="573">
        <f>TRUNC(E115*G117,3)</f>
        <v>2.7E-2</v>
      </c>
      <c r="J117" s="579">
        <v>13.1</v>
      </c>
      <c r="K117" s="580">
        <f>I117*J117</f>
        <v>0.35369999999999996</v>
      </c>
      <c r="L117" s="643"/>
    </row>
    <row r="118" spans="2:12" ht="30" x14ac:dyDescent="0.25">
      <c r="B118" s="536">
        <v>5219644</v>
      </c>
      <c r="C118" s="537" t="s">
        <v>404</v>
      </c>
      <c r="D118" s="538"/>
      <c r="E118" s="539">
        <f>VLOOKUP(B118,'Orça-SD'!$B$6:$I$56,4,FALSE)</f>
        <v>20</v>
      </c>
      <c r="F118" s="540" t="s">
        <v>1</v>
      </c>
      <c r="G118" s="541"/>
      <c r="H118" s="577"/>
      <c r="I118" s="578"/>
      <c r="J118" s="544"/>
      <c r="K118" s="545"/>
      <c r="L118" s="642"/>
    </row>
    <row r="119" spans="2:12" x14ac:dyDescent="0.25">
      <c r="B119" s="565" t="s">
        <v>122</v>
      </c>
      <c r="C119" s="547" t="s">
        <v>427</v>
      </c>
      <c r="D119" s="548">
        <v>5914479</v>
      </c>
      <c r="E119" s="549"/>
      <c r="F119" s="550"/>
      <c r="G119" s="566">
        <v>2.2000000000000001E-4</v>
      </c>
      <c r="H119" s="550" t="str">
        <f>CONCATENATE("t / ",F118)</f>
        <v>t / un</v>
      </c>
      <c r="I119" s="549">
        <f>TRUNC(E118*G119,3)</f>
        <v>4.0000000000000001E-3</v>
      </c>
      <c r="J119" s="554">
        <v>13.1</v>
      </c>
      <c r="K119" s="555">
        <f>I119*J119</f>
        <v>5.2400000000000002E-2</v>
      </c>
      <c r="L119" s="643"/>
    </row>
    <row r="120" spans="2:12" x14ac:dyDescent="0.25">
      <c r="B120" s="571" t="s">
        <v>429</v>
      </c>
      <c r="C120" s="547" t="s">
        <v>428</v>
      </c>
      <c r="D120" s="572">
        <v>5914479</v>
      </c>
      <c r="E120" s="573"/>
      <c r="F120" s="574"/>
      <c r="G120" s="575">
        <v>2.3E-3</v>
      </c>
      <c r="H120" s="574" t="str">
        <f>CONCATENATE("t / ",F118)</f>
        <v>t / un</v>
      </c>
      <c r="I120" s="573">
        <f>TRUNC(E118*G120,3)</f>
        <v>4.5999999999999999E-2</v>
      </c>
      <c r="J120" s="579">
        <v>13.1</v>
      </c>
      <c r="K120" s="580">
        <f>I120*J120</f>
        <v>0.60260000000000002</v>
      </c>
      <c r="L120" s="643"/>
    </row>
    <row r="121" spans="2:12" ht="30" x14ac:dyDescent="0.25">
      <c r="B121" s="536">
        <v>5219643</v>
      </c>
      <c r="C121" s="537" t="s">
        <v>405</v>
      </c>
      <c r="D121" s="538"/>
      <c r="E121" s="539">
        <f>VLOOKUP(B121,'Orça-SD'!$B$6:$I$56,4,FALSE)</f>
        <v>55</v>
      </c>
      <c r="F121" s="540" t="s">
        <v>1</v>
      </c>
      <c r="G121" s="541"/>
      <c r="H121" s="577"/>
      <c r="I121" s="578"/>
      <c r="J121" s="544"/>
      <c r="K121" s="545"/>
      <c r="L121" s="642"/>
    </row>
    <row r="122" spans="2:12" x14ac:dyDescent="0.25">
      <c r="B122" s="565" t="s">
        <v>122</v>
      </c>
      <c r="C122" s="547" t="s">
        <v>427</v>
      </c>
      <c r="D122" s="548">
        <v>5914479</v>
      </c>
      <c r="E122" s="549"/>
      <c r="F122" s="550"/>
      <c r="G122" s="566">
        <v>2.2000000000000001E-4</v>
      </c>
      <c r="H122" s="550" t="str">
        <f>CONCATENATE("t / ",F121)</f>
        <v>t / un</v>
      </c>
      <c r="I122" s="549">
        <f>TRUNC($E$121*G122,3)</f>
        <v>1.2E-2</v>
      </c>
      <c r="J122" s="554">
        <v>13.1</v>
      </c>
      <c r="K122" s="555">
        <f>I122*J122</f>
        <v>0.15720000000000001</v>
      </c>
      <c r="L122" s="643"/>
    </row>
    <row r="123" spans="2:12" x14ac:dyDescent="0.25">
      <c r="B123" s="571" t="s">
        <v>430</v>
      </c>
      <c r="C123" s="647" t="s">
        <v>431</v>
      </c>
      <c r="D123" s="572">
        <v>5914479</v>
      </c>
      <c r="E123" s="573"/>
      <c r="F123" s="574"/>
      <c r="G123" s="575">
        <v>2.3E-3</v>
      </c>
      <c r="H123" s="574" t="str">
        <f>CONCATENATE("t / ",F121)</f>
        <v>t / un</v>
      </c>
      <c r="I123" s="573">
        <f>TRUNC(E121*G123,3)</f>
        <v>0.126</v>
      </c>
      <c r="J123" s="579">
        <v>13.1</v>
      </c>
      <c r="K123" s="580">
        <f>I123*J123</f>
        <v>1.6506000000000001</v>
      </c>
      <c r="L123" s="643"/>
    </row>
    <row r="124" spans="2:12" x14ac:dyDescent="0.25">
      <c r="B124" s="622"/>
      <c r="C124" s="622"/>
      <c r="D124" s="622"/>
      <c r="E124" s="622"/>
      <c r="F124" s="622"/>
      <c r="G124" s="622"/>
      <c r="H124" s="622"/>
      <c r="I124" s="622"/>
      <c r="J124" s="622"/>
      <c r="K124" s="622"/>
    </row>
    <row r="125" spans="2:12" x14ac:dyDescent="0.25">
      <c r="B125" s="759" t="s">
        <v>98</v>
      </c>
      <c r="C125" s="760"/>
      <c r="D125" s="760"/>
      <c r="E125" s="760"/>
      <c r="F125" s="760"/>
      <c r="G125" s="760"/>
      <c r="H125" s="760"/>
      <c r="I125" s="760"/>
      <c r="J125" s="760"/>
      <c r="K125" s="761"/>
      <c r="L125" s="644"/>
    </row>
    <row r="126" spans="2:12" x14ac:dyDescent="0.25">
      <c r="B126" s="626" t="s">
        <v>74</v>
      </c>
      <c r="C126" s="624" t="s">
        <v>36</v>
      </c>
      <c r="D126" s="626" t="s">
        <v>12</v>
      </c>
      <c r="E126" s="623"/>
      <c r="F126" s="624"/>
      <c r="G126" s="624"/>
      <c r="H126" s="624"/>
      <c r="I126" s="624"/>
      <c r="J126" s="625"/>
      <c r="K126" s="625"/>
      <c r="L126" s="644"/>
    </row>
    <row r="127" spans="2:12" ht="30" x14ac:dyDescent="0.25">
      <c r="B127" s="627">
        <v>5914389</v>
      </c>
      <c r="C127" s="628" t="s">
        <v>128</v>
      </c>
      <c r="D127" s="629" t="s">
        <v>133</v>
      </c>
      <c r="E127" s="630"/>
      <c r="F127" s="631"/>
      <c r="G127" s="632"/>
      <c r="H127" s="631"/>
      <c r="I127" s="633"/>
      <c r="J127" s="634" t="s">
        <v>79</v>
      </c>
      <c r="K127" s="635">
        <f t="shared" ref="K127:K132" si="37">SUMIF($D$5:$D$123,B127,$K$5:$K$123)</f>
        <v>51388.04270000002</v>
      </c>
      <c r="L127" s="637"/>
    </row>
    <row r="128" spans="2:12" ht="30" x14ac:dyDescent="0.25">
      <c r="B128" s="627">
        <v>5914366</v>
      </c>
      <c r="C128" s="628" t="s">
        <v>129</v>
      </c>
      <c r="D128" s="629" t="s">
        <v>133</v>
      </c>
      <c r="E128" s="630"/>
      <c r="F128" s="631"/>
      <c r="G128" s="632"/>
      <c r="H128" s="631"/>
      <c r="I128" s="633"/>
      <c r="J128" s="634" t="s">
        <v>79</v>
      </c>
      <c r="K128" s="635">
        <f t="shared" si="37"/>
        <v>55.471500000000006</v>
      </c>
      <c r="L128" s="637"/>
    </row>
    <row r="129" spans="2:12" ht="30" x14ac:dyDescent="0.25">
      <c r="B129" s="627">
        <v>5914344</v>
      </c>
      <c r="C129" s="628" t="s">
        <v>130</v>
      </c>
      <c r="D129" s="629" t="s">
        <v>133</v>
      </c>
      <c r="E129" s="630"/>
      <c r="F129" s="631"/>
      <c r="G129" s="632"/>
      <c r="H129" s="631"/>
      <c r="I129" s="633"/>
      <c r="J129" s="634" t="s">
        <v>79</v>
      </c>
      <c r="K129" s="635">
        <f t="shared" si="37"/>
        <v>577.64</v>
      </c>
      <c r="L129" s="637"/>
    </row>
    <row r="130" spans="2:12" ht="30" x14ac:dyDescent="0.25">
      <c r="B130" s="627">
        <v>5914614</v>
      </c>
      <c r="C130" s="628" t="s">
        <v>450</v>
      </c>
      <c r="D130" s="629" t="s">
        <v>133</v>
      </c>
      <c r="E130" s="630"/>
      <c r="F130" s="631"/>
      <c r="G130" s="632"/>
      <c r="H130" s="631"/>
      <c r="I130" s="633"/>
      <c r="J130" s="634" t="s">
        <v>79</v>
      </c>
      <c r="K130" s="635">
        <f t="shared" si="37"/>
        <v>1824.0440000000001</v>
      </c>
      <c r="L130" s="637"/>
    </row>
    <row r="131" spans="2:12" ht="30" x14ac:dyDescent="0.25">
      <c r="B131" s="627">
        <v>5914479</v>
      </c>
      <c r="C131" s="628" t="s">
        <v>131</v>
      </c>
      <c r="D131" s="629" t="s">
        <v>133</v>
      </c>
      <c r="E131" s="630"/>
      <c r="F131" s="631"/>
      <c r="G131" s="632"/>
      <c r="H131" s="631"/>
      <c r="I131" s="633"/>
      <c r="J131" s="634" t="s">
        <v>79</v>
      </c>
      <c r="K131" s="635">
        <f t="shared" si="37"/>
        <v>1913.6591999999996</v>
      </c>
      <c r="L131" s="637"/>
    </row>
    <row r="132" spans="2:12" ht="30" x14ac:dyDescent="0.25">
      <c r="B132" s="627">
        <v>5915324</v>
      </c>
      <c r="C132" s="628" t="s">
        <v>132</v>
      </c>
      <c r="D132" s="629" t="s">
        <v>133</v>
      </c>
      <c r="E132" s="630"/>
      <c r="F132" s="631"/>
      <c r="G132" s="632"/>
      <c r="H132" s="631"/>
      <c r="I132" s="633"/>
      <c r="J132" s="634" t="s">
        <v>79</v>
      </c>
      <c r="K132" s="635">
        <f t="shared" si="37"/>
        <v>6.157</v>
      </c>
      <c r="L132" s="637"/>
    </row>
    <row r="134" spans="2:12" x14ac:dyDescent="0.25">
      <c r="K134" s="636">
        <f>SUM(K127:K132)</f>
        <v>55765.014400000022</v>
      </c>
      <c r="L134" s="645"/>
    </row>
    <row r="136" spans="2:12" x14ac:dyDescent="0.25">
      <c r="K136" s="637">
        <f>SUM(K4:K123)</f>
        <v>55765.014399999993</v>
      </c>
      <c r="L136" s="637"/>
    </row>
    <row r="138" spans="2:12" x14ac:dyDescent="0.25">
      <c r="D138" s="638"/>
    </row>
    <row r="139" spans="2:12" x14ac:dyDescent="0.25">
      <c r="D139" s="638"/>
    </row>
  </sheetData>
  <mergeCells count="6">
    <mergeCell ref="B125:K125"/>
    <mergeCell ref="B69:K69"/>
    <mergeCell ref="B88:K88"/>
    <mergeCell ref="B2:K2"/>
    <mergeCell ref="B4:K4"/>
    <mergeCell ref="B27:K27"/>
  </mergeCells>
  <printOptions horizontalCentered="1"/>
  <pageMargins left="0.59055118110236227" right="0.39370078740157483" top="0.59055118110236227" bottom="0.59055118110236227" header="0.19685039370078741" footer="0.19685039370078741"/>
  <pageSetup paperSize="9" scale="88" fitToHeight="0" orientation="landscape" r:id="rId1"/>
  <rowBreaks count="3" manualBreakCount="3">
    <brk id="57" max="11" man="1"/>
    <brk id="87" max="11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35</vt:i4>
      </vt:variant>
    </vt:vector>
  </HeadingPairs>
  <TitlesOfParts>
    <vt:vector size="56" baseType="lpstr">
      <vt:lpstr>Dados</vt:lpstr>
      <vt:lpstr>BDI</vt:lpstr>
      <vt:lpstr>Orça-SD</vt:lpstr>
      <vt:lpstr>LIG.SD</vt:lpstr>
      <vt:lpstr>Orça-CD</vt:lpstr>
      <vt:lpstr>LIG.CD</vt:lpstr>
      <vt:lpstr>Cotação</vt:lpstr>
      <vt:lpstr>Cronog.</vt:lpstr>
      <vt:lpstr>Transp.</vt:lpstr>
      <vt:lpstr>Inst_Canteiro</vt:lpstr>
      <vt:lpstr>Mob.</vt:lpstr>
      <vt:lpstr>Adm. Local</vt:lpstr>
      <vt:lpstr>Terrap</vt:lpstr>
      <vt:lpstr>Valas</vt:lpstr>
      <vt:lpstr>Sin. V.</vt:lpstr>
      <vt:lpstr>Tachas</vt:lpstr>
      <vt:lpstr>Sin.H.</vt:lpstr>
      <vt:lpstr>Dren.</vt:lpstr>
      <vt:lpstr>MFC</vt:lpstr>
      <vt:lpstr>Sarjetas</vt:lpstr>
      <vt:lpstr>Enleivamento</vt:lpstr>
      <vt:lpstr>'Adm. Local'!Area_de_impressao</vt:lpstr>
      <vt:lpstr>BDI!Area_de_impressao</vt:lpstr>
      <vt:lpstr>Cotação!Area_de_impressao</vt:lpstr>
      <vt:lpstr>Cronog.!Area_de_impressao</vt:lpstr>
      <vt:lpstr>Dren.!Area_de_impressao</vt:lpstr>
      <vt:lpstr>Enleivamento!Area_de_impressao</vt:lpstr>
      <vt:lpstr>Inst_Canteiro!Area_de_impressao</vt:lpstr>
      <vt:lpstr>LIG.CD!Area_de_impressao</vt:lpstr>
      <vt:lpstr>LIG.SD!Area_de_impressao</vt:lpstr>
      <vt:lpstr>MFC!Area_de_impressao</vt:lpstr>
      <vt:lpstr>Mob.!Area_de_impressao</vt:lpstr>
      <vt:lpstr>'Orça-CD'!Area_de_impressao</vt:lpstr>
      <vt:lpstr>'Orça-SD'!Area_de_impressao</vt:lpstr>
      <vt:lpstr>Sarjetas!Area_de_impressao</vt:lpstr>
      <vt:lpstr>'Sin. V.'!Area_de_impressao</vt:lpstr>
      <vt:lpstr>Sin.H.!Area_de_impressao</vt:lpstr>
      <vt:lpstr>Tachas!Area_de_impressao</vt:lpstr>
      <vt:lpstr>Terrap!Area_de_impressao</vt:lpstr>
      <vt:lpstr>Transp.!Area_de_impressao</vt:lpstr>
      <vt:lpstr>Valas!Area_de_impressao</vt:lpstr>
      <vt:lpstr>bdi_CD</vt:lpstr>
      <vt:lpstr>bdi_CD_dif</vt:lpstr>
      <vt:lpstr>bdi_SD</vt:lpstr>
      <vt:lpstr>bdi_SD_dif</vt:lpstr>
      <vt:lpstr>data_sicro</vt:lpstr>
      <vt:lpstr>data_sicro_txt</vt:lpstr>
      <vt:lpstr>lado</vt:lpstr>
      <vt:lpstr>local</vt:lpstr>
      <vt:lpstr>rodovia</vt:lpstr>
      <vt:lpstr>tipo</vt:lpstr>
      <vt:lpstr>Cotação!Titulos_de_impressao</vt:lpstr>
      <vt:lpstr>Enleivamento!Titulos_de_impressao</vt:lpstr>
      <vt:lpstr>'Sin. V.'!Titulos_de_impressao</vt:lpstr>
      <vt:lpstr>Tachas!Titulos_de_impressao</vt:lpstr>
      <vt:lpstr>Terrap!Titulos_de_impressao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Cordero</dc:creator>
  <cp:lastModifiedBy>Usuario</cp:lastModifiedBy>
  <cp:lastPrinted>2023-02-28T02:40:08Z</cp:lastPrinted>
  <dcterms:created xsi:type="dcterms:W3CDTF">2021-03-13T10:14:17Z</dcterms:created>
  <dcterms:modified xsi:type="dcterms:W3CDTF">2024-06-11T17:27:07Z</dcterms:modified>
</cp:coreProperties>
</file>